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7.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8.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9.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10.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11.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12.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13.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14.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15.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6.xml" ContentType="application/vnd.openxmlformats-officedocument.drawing+xml"/>
  <Override PartName="/xl/ctrlProps/ctrlProp46.xml" ContentType="application/vnd.ms-excel.controlproperties+xml"/>
  <Override PartName="/xl/drawings/drawing17.xml" ContentType="application/vnd.openxmlformats-officedocument.drawing+xml"/>
  <Override PartName="/xl/ctrlProps/ctrlProp47.xml" ContentType="application/vnd.ms-excel.controlproperties+xml"/>
  <Override PartName="/xl/ctrlProps/ctrlProp48.xml" ContentType="application/vnd.ms-excel.controlproperties+xml"/>
  <Override PartName="/xl/drawings/drawing18.xml" ContentType="application/vnd.openxmlformats-officedocument.drawing+xml"/>
  <Override PartName="/xl/ctrlProps/ctrlProp4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DieseArbeitsmappe" defaultThemeVersion="124226"/>
  <mc:AlternateContent xmlns:mc="http://schemas.openxmlformats.org/markup-compatibility/2006">
    <mc:Choice Requires="x15">
      <x15ac:absPath xmlns:x15ac="http://schemas.microsoft.com/office/spreadsheetml/2010/11/ac" url="S:\Kunden\Königs Wusterhausen, Stadt\Reinigung 2026\4-Leistungsbeschreibungen\2-ERK\"/>
    </mc:Choice>
  </mc:AlternateContent>
  <xr:revisionPtr revIDLastSave="0" documentId="13_ncr:1_{683D5CB2-92F0-4FB5-9FB0-59BA100A7601}" xr6:coauthVersionLast="47" xr6:coauthVersionMax="47" xr10:uidLastSave="{00000000-0000-0000-0000-000000000000}"/>
  <workbookProtection workbookAlgorithmName="SHA-512" workbookHashValue="dhDYmTg75qRKACZfiQNrfNKBAo1tRtPjyorq+6kK23QK1IU7uDtZmGtXWzxCjhyFDMqBj3WY/rlFPS2X/DDP+A==" workbookSaltValue="caEQUYLjlUfsPKyQZVoY0A==" workbookSpinCount="100000" lockStructure="1"/>
  <bookViews>
    <workbookView xWindow="-120" yWindow="-120" windowWidth="29040" windowHeight="15720" tabRatio="861" xr2:uid="{00000000-000D-0000-FFFF-FFFF00000000}"/>
  </bookViews>
  <sheets>
    <sheet name="Inhaltsverzeichnis" sheetId="1" r:id="rId1"/>
    <sheet name="Preisübersicht" sheetId="3" r:id="rId2"/>
    <sheet name="Preisübersicht (nach Bedarf)" sheetId="23" r:id="rId3"/>
    <sheet name="SVS UnterhaltsRG" sheetId="38" r:id="rId4"/>
    <sheet name="SVS GrundRG" sheetId="29" r:id="rId5"/>
    <sheet name="SVS GlasRG" sheetId="30" r:id="rId6"/>
    <sheet name="SVS Sonderreinigung" sheetId="43" r:id="rId7"/>
    <sheet name="Kal Unter GS Zeesen" sheetId="62" r:id="rId8"/>
    <sheet name="Kal Grund GS Zeesen" sheetId="64" r:id="rId9"/>
    <sheet name="Kal Unter Fer GS Zeesen" sheetId="66" r:id="rId10"/>
    <sheet name="Kal Unter Bed GS Zeesen" sheetId="68" r:id="rId11"/>
    <sheet name="Kal Unter Hort mit TH" sheetId="63" r:id="rId12"/>
    <sheet name="Kal Grund Hort mit TH" sheetId="65" r:id="rId13"/>
    <sheet name="Kal Unter Fer Hort mit TH" sheetId="67" r:id="rId14"/>
    <sheet name="Kal Sonder Bed GS Zeesen" sheetId="69" r:id="rId15"/>
    <sheet name="Kal TeilRG Gesamt" sheetId="70" r:id="rId16"/>
    <sheet name="Kal Glas Gesamt" sheetId="22" r:id="rId17"/>
    <sheet name="Reinigungstage" sheetId="46" r:id="rId18"/>
  </sheets>
  <definedNames>
    <definedName name="_xlnm._FilterDatabase" localSheetId="15" hidden="1">'Kal TeilRG Gesamt'!$J$21:$K$44</definedName>
    <definedName name="_xlnm._FilterDatabase" localSheetId="7" hidden="1">'Kal Unter GS Zeesen'!$C$21:$D$156</definedName>
    <definedName name="berAuftragskosten" localSheetId="8">SVS #REF!</definedName>
    <definedName name="berAuftragskosten" localSheetId="12">SVS #REF!</definedName>
    <definedName name="berAuftragskosten" localSheetId="14">SVS #REF!</definedName>
    <definedName name="berAuftragskosten" localSheetId="15">SVS #REF!</definedName>
    <definedName name="berAuftragskosten" localSheetId="10">SVS #REF!</definedName>
    <definedName name="berAuftragskosten" localSheetId="9">SVS #REF!</definedName>
    <definedName name="berAuftragskosten" localSheetId="13">SVS #REF!</definedName>
    <definedName name="berAuftragskosten" localSheetId="7">SVS #REF!</definedName>
    <definedName name="berAuftragskosten" localSheetId="11">SVS #REF!</definedName>
    <definedName name="berAuftragskosten">SVS #REF!</definedName>
    <definedName name="BereichSVSGrundWC">#REF!</definedName>
    <definedName name="berRGTageObjekt">#REF!</definedName>
    <definedName name="_xlnm.Print_Area" localSheetId="0">Inhaltsverzeichnis!$A$1:$N$24</definedName>
    <definedName name="_xlnm.Print_Area" localSheetId="16">'Kal Glas Gesamt'!$A$1:$L$24</definedName>
    <definedName name="_xlnm.Print_Area" localSheetId="8">'Kal Grund GS Zeesen'!$A$1:$R$131</definedName>
    <definedName name="_xlnm.Print_Area" localSheetId="12">'Kal Grund Hort mit TH'!$A$1:$R$103</definedName>
    <definedName name="_xlnm.Print_Area" localSheetId="14">'Kal Sonder Bed GS Zeesen'!$A$1:$S$39</definedName>
    <definedName name="_xlnm.Print_Area" localSheetId="15">'Kal TeilRG Gesamt'!$A$1:$S$44</definedName>
    <definedName name="_xlnm.Print_Area" localSheetId="10">'Kal Unter Bed GS Zeesen'!$A$1:$S$30</definedName>
    <definedName name="_xlnm.Print_Area" localSheetId="9">'Kal Unter Fer GS Zeesen'!$A$1:$S$36</definedName>
    <definedName name="_xlnm.Print_Area" localSheetId="13">'Kal Unter Fer Hort mit TH'!$A$1:$S$102</definedName>
    <definedName name="_xlnm.Print_Area" localSheetId="7">'Kal Unter GS Zeesen'!$A$1:$S$156</definedName>
    <definedName name="_xlnm.Print_Area" localSheetId="11">'Kal Unter Hort mit TH'!$A$1:$S$120</definedName>
    <definedName name="_xlnm.Print_Area" localSheetId="1">Preisübersicht!$A$1:$J$8</definedName>
    <definedName name="_xlnm.Print_Area" localSheetId="2">'Preisübersicht (nach Bedarf)'!$A$1:$H$6</definedName>
    <definedName name="_xlnm.Print_Area" localSheetId="17">Reinigungstage!$A$1:$L$31</definedName>
    <definedName name="_xlnm.Print_Area" localSheetId="5">'SVS GlasRG'!$A$1:$J$79</definedName>
    <definedName name="_xlnm.Print_Area" localSheetId="4">'SVS GrundRG'!$A$1:$J$79</definedName>
    <definedName name="_xlnm.Print_Area" localSheetId="6">'SVS Sonderreinigung'!$A$1:$P$79</definedName>
    <definedName name="_xlnm.Print_Area" localSheetId="3">'SVS UnterhaltsRG'!$A$1:$P$79</definedName>
    <definedName name="_xlnm.Print_Titles" localSheetId="8">'Kal Grund GS Zeesen'!$20:$21</definedName>
    <definedName name="_xlnm.Print_Titles" localSheetId="12">'Kal Grund Hort mit TH'!$20:$21</definedName>
    <definedName name="_xlnm.Print_Titles" localSheetId="15">'Kal TeilRG Gesamt'!$20:$21</definedName>
    <definedName name="_xlnm.Print_Titles" localSheetId="10">'Kal Unter Bed GS Zeesen'!$20:$21</definedName>
    <definedName name="_xlnm.Print_Titles" localSheetId="9">'Kal Unter Fer GS Zeesen'!$20:$21</definedName>
    <definedName name="_xlnm.Print_Titles" localSheetId="13">'Kal Unter Fer Hort mit TH'!$20:$21</definedName>
    <definedName name="_xlnm.Print_Titles" localSheetId="7">'Kal Unter GS Zeesen'!$20:$21</definedName>
    <definedName name="_xlnm.Print_Titles" localSheetId="11">'Kal Unter Hort mit TH'!$20:$21</definedName>
    <definedName name="_xlnm.Print_Titles" localSheetId="1">Preisübersicht!$1:$5</definedName>
    <definedName name="_xlnm.Print_Titles" localSheetId="2">'Preisübersicht (nach Bedarf)'!$1:$5</definedName>
    <definedName name="Ferien">#REF!</definedName>
    <definedName name="sAuftragskosten" localSheetId="8">SVS #REF!</definedName>
    <definedName name="sAuftragskosten" localSheetId="12">SVS #REF!</definedName>
    <definedName name="sAuftragskosten" localSheetId="14">SVS #REF!</definedName>
    <definedName name="sAuftragskosten" localSheetId="15">SVS #REF!</definedName>
    <definedName name="sAuftragskosten" localSheetId="10">SVS #REF!</definedName>
    <definedName name="sAuftragskosten" localSheetId="9">SVS #REF!</definedName>
    <definedName name="sAuftragskosten" localSheetId="13">SVS #REF!</definedName>
    <definedName name="sAuftragskosten" localSheetId="7">SVS #REF!</definedName>
    <definedName name="sAuftragskosten" localSheetId="11">SVS #REF!</definedName>
    <definedName name="sAuftragskosten">SVS #REF!</definedName>
    <definedName name="SVListe">#REF!</definedName>
    <definedName name="TTListe">#REF!</definedName>
    <definedName name="Turnus">#REF!</definedName>
    <definedName name="TurnusKita">#REF!</definedName>
    <definedName name="TurnusSchule">#REF!</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22" i="70" l="1"/>
  <c r="N2" i="70"/>
  <c r="L26" i="70"/>
  <c r="M26" i="70" s="1"/>
  <c r="L27" i="70"/>
  <c r="M27" i="70" s="1"/>
  <c r="L43" i="70"/>
  <c r="M43" i="70" s="1"/>
  <c r="L11" i="46"/>
  <c r="L12" i="46"/>
  <c r="L13" i="46"/>
  <c r="L14" i="46"/>
  <c r="L15" i="46"/>
  <c r="L16" i="46"/>
  <c r="L17" i="46"/>
  <c r="L10" i="46"/>
  <c r="L22" i="46"/>
  <c r="L21" i="46"/>
  <c r="L20" i="46"/>
  <c r="L19" i="46"/>
  <c r="L18" i="46"/>
  <c r="L28" i="70" s="1"/>
  <c r="M28" i="70" s="1"/>
  <c r="U44" i="70"/>
  <c r="N44" i="70"/>
  <c r="P44" i="70" s="1"/>
  <c r="R44" i="70" s="1"/>
  <c r="U43" i="70"/>
  <c r="N43" i="70"/>
  <c r="P43" i="70" s="1"/>
  <c r="R43" i="70" s="1"/>
  <c r="U42" i="70"/>
  <c r="N42" i="70"/>
  <c r="P42" i="70" s="1"/>
  <c r="R42" i="70" s="1"/>
  <c r="U41" i="70"/>
  <c r="N41" i="70"/>
  <c r="P41" i="70" s="1"/>
  <c r="R41" i="70" s="1"/>
  <c r="U40" i="70"/>
  <c r="N40" i="70"/>
  <c r="P40" i="70" s="1"/>
  <c r="R40" i="70" s="1"/>
  <c r="U39" i="70"/>
  <c r="N39" i="70"/>
  <c r="P39" i="70" s="1"/>
  <c r="R39" i="70" s="1"/>
  <c r="U38" i="70"/>
  <c r="N38" i="70"/>
  <c r="P38" i="70" s="1"/>
  <c r="R38" i="70" s="1"/>
  <c r="U37" i="70"/>
  <c r="N37" i="70"/>
  <c r="P37" i="70" s="1"/>
  <c r="R37" i="70" s="1"/>
  <c r="U36" i="70"/>
  <c r="N36" i="70"/>
  <c r="P36" i="70" s="1"/>
  <c r="R36" i="70" s="1"/>
  <c r="U35" i="70"/>
  <c r="N35" i="70"/>
  <c r="P35" i="70" s="1"/>
  <c r="R35" i="70" s="1"/>
  <c r="U34" i="70"/>
  <c r="N34" i="70"/>
  <c r="P34" i="70" s="1"/>
  <c r="R34" i="70" s="1"/>
  <c r="U33" i="70"/>
  <c r="N33" i="70"/>
  <c r="P33" i="70" s="1"/>
  <c r="R33" i="70" s="1"/>
  <c r="U32" i="70"/>
  <c r="N32" i="70"/>
  <c r="P32" i="70" s="1"/>
  <c r="R32" i="70" s="1"/>
  <c r="U31" i="70"/>
  <c r="N31" i="70"/>
  <c r="P31" i="70" s="1"/>
  <c r="R31" i="70" s="1"/>
  <c r="U30" i="70"/>
  <c r="N30" i="70"/>
  <c r="P30" i="70" s="1"/>
  <c r="R30" i="70" s="1"/>
  <c r="U29" i="70"/>
  <c r="N29" i="70"/>
  <c r="P29" i="70" s="1"/>
  <c r="R29" i="70" s="1"/>
  <c r="U28" i="70"/>
  <c r="N28" i="70"/>
  <c r="P28" i="70" s="1"/>
  <c r="R28" i="70" s="1"/>
  <c r="U27" i="70"/>
  <c r="N27" i="70"/>
  <c r="P27" i="70" s="1"/>
  <c r="R27" i="70" s="1"/>
  <c r="U26" i="70"/>
  <c r="N26" i="70"/>
  <c r="P26" i="70" s="1"/>
  <c r="R26" i="70" s="1"/>
  <c r="U25" i="70"/>
  <c r="N25" i="70"/>
  <c r="P25" i="70" s="1"/>
  <c r="R25" i="70" s="1"/>
  <c r="U24" i="70"/>
  <c r="N24" i="70"/>
  <c r="P24" i="70" s="1"/>
  <c r="R24" i="70" s="1"/>
  <c r="U23" i="70"/>
  <c r="N23" i="70"/>
  <c r="P23" i="70" s="1"/>
  <c r="R23" i="70" s="1"/>
  <c r="N22" i="70"/>
  <c r="P22" i="70" s="1"/>
  <c r="R22" i="70" s="1"/>
  <c r="I21" i="70"/>
  <c r="H21" i="70"/>
  <c r="G21" i="70"/>
  <c r="B13" i="70"/>
  <c r="B4" i="70"/>
  <c r="L23" i="70" l="1"/>
  <c r="M23" i="70" s="1"/>
  <c r="L38" i="70"/>
  <c r="M38" i="70" s="1"/>
  <c r="L37" i="70"/>
  <c r="M37" i="70" s="1"/>
  <c r="L36" i="70"/>
  <c r="M36" i="70" s="1"/>
  <c r="L35" i="70"/>
  <c r="M35" i="70" s="1"/>
  <c r="L24" i="70"/>
  <c r="M24" i="70" s="1"/>
  <c r="L34" i="70"/>
  <c r="M34" i="70" s="1"/>
  <c r="L41" i="70"/>
  <c r="M41" i="70" s="1"/>
  <c r="L33" i="70"/>
  <c r="M33" i="70" s="1"/>
  <c r="L32" i="70"/>
  <c r="M32" i="70" s="1"/>
  <c r="L31" i="70"/>
  <c r="M31" i="70" s="1"/>
  <c r="L39" i="70"/>
  <c r="M39" i="70" s="1"/>
  <c r="L30" i="70"/>
  <c r="M30" i="70" s="1"/>
  <c r="L42" i="70"/>
  <c r="M42" i="70" s="1"/>
  <c r="L40" i="70"/>
  <c r="M40" i="70" s="1"/>
  <c r="L22" i="70"/>
  <c r="M22" i="70" s="1"/>
  <c r="L29" i="70"/>
  <c r="M29" i="70" s="1"/>
  <c r="L25" i="70"/>
  <c r="M25" i="70" s="1"/>
  <c r="L44" i="70"/>
  <c r="M44" i="70" s="1"/>
  <c r="V38" i="70"/>
  <c r="V43" i="70"/>
  <c r="V37" i="70"/>
  <c r="V42" i="70"/>
  <c r="V36" i="70"/>
  <c r="V35" i="70"/>
  <c r="V34" i="70"/>
  <c r="V30" i="70"/>
  <c r="V32" i="70"/>
  <c r="V31" i="70"/>
  <c r="V22" i="70"/>
  <c r="V29" i="70"/>
  <c r="V28" i="70"/>
  <c r="V33" i="70"/>
  <c r="V27" i="70"/>
  <c r="V25" i="70"/>
  <c r="V41" i="70"/>
  <c r="V40" i="70"/>
  <c r="V24" i="70"/>
  <c r="V44" i="70"/>
  <c r="V26" i="70"/>
  <c r="V39" i="70"/>
  <c r="V23" i="70"/>
  <c r="P21" i="70"/>
  <c r="L21" i="70" l="1"/>
  <c r="N14" i="70"/>
  <c r="R21" i="70"/>
  <c r="M21" i="70"/>
  <c r="J4" i="70"/>
  <c r="I4" i="70"/>
  <c r="P23" i="38" l="1"/>
  <c r="O23" i="38"/>
  <c r="N23" i="38"/>
  <c r="M23" i="38"/>
  <c r="P22" i="38"/>
  <c r="O22" i="38"/>
  <c r="N22" i="38"/>
  <c r="M22" i="38"/>
  <c r="P9" i="38"/>
  <c r="O9" i="38"/>
  <c r="N9" i="38"/>
  <c r="M9" i="38"/>
  <c r="P5" i="22"/>
  <c r="P6" i="22"/>
  <c r="O5" i="22"/>
  <c r="O6" i="22"/>
  <c r="N5" i="22"/>
  <c r="N6" i="22"/>
  <c r="H3" i="22"/>
  <c r="F6" i="1"/>
  <c r="N22" i="69"/>
  <c r="P22" i="69" s="1"/>
  <c r="R22" i="69" s="1"/>
  <c r="N23" i="69"/>
  <c r="P23" i="69" s="1"/>
  <c r="R23" i="69" s="1"/>
  <c r="N24" i="69"/>
  <c r="P24" i="69" s="1"/>
  <c r="R24" i="69" s="1"/>
  <c r="N25" i="69"/>
  <c r="P25" i="69" s="1"/>
  <c r="R25" i="69" s="1"/>
  <c r="N26" i="69"/>
  <c r="P26" i="69" s="1"/>
  <c r="R26" i="69" s="1"/>
  <c r="N27" i="69"/>
  <c r="P27" i="69" s="1"/>
  <c r="R27" i="69" s="1"/>
  <c r="N28" i="69"/>
  <c r="P28" i="69" s="1"/>
  <c r="R28" i="69" s="1"/>
  <c r="N29" i="69"/>
  <c r="P29" i="69" s="1"/>
  <c r="R29" i="69" s="1"/>
  <c r="N30" i="69"/>
  <c r="P30" i="69" s="1"/>
  <c r="R30" i="69" s="1"/>
  <c r="N31" i="69"/>
  <c r="P31" i="69" s="1"/>
  <c r="R31" i="69" s="1"/>
  <c r="N32" i="69"/>
  <c r="P32" i="69" s="1"/>
  <c r="R32" i="69" s="1"/>
  <c r="N33" i="69"/>
  <c r="P33" i="69" s="1"/>
  <c r="R33" i="69" s="1"/>
  <c r="N34" i="69"/>
  <c r="P34" i="69" s="1"/>
  <c r="R34" i="69" s="1"/>
  <c r="I21" i="69"/>
  <c r="H21" i="69"/>
  <c r="G21" i="69"/>
  <c r="U30" i="68"/>
  <c r="U29" i="68"/>
  <c r="U28" i="68"/>
  <c r="U27" i="68"/>
  <c r="U26" i="68"/>
  <c r="U25" i="68"/>
  <c r="U24" i="68"/>
  <c r="U23" i="68"/>
  <c r="U22" i="68"/>
  <c r="N30" i="68"/>
  <c r="P30" i="68" s="1"/>
  <c r="R30" i="68" s="1"/>
  <c r="N29" i="68"/>
  <c r="P29" i="68" s="1"/>
  <c r="R29" i="68" s="1"/>
  <c r="N28" i="68"/>
  <c r="P28" i="68" s="1"/>
  <c r="R28" i="68" s="1"/>
  <c r="N27" i="68"/>
  <c r="P27" i="68" s="1"/>
  <c r="R27" i="68" s="1"/>
  <c r="N26" i="68"/>
  <c r="P26" i="68" s="1"/>
  <c r="R26" i="68" s="1"/>
  <c r="N25" i="68"/>
  <c r="P25" i="68" s="1"/>
  <c r="R25" i="68" s="1"/>
  <c r="N24" i="68"/>
  <c r="P24" i="68" s="1"/>
  <c r="R24" i="68" s="1"/>
  <c r="N23" i="68"/>
  <c r="P23" i="68" s="1"/>
  <c r="R23" i="68" s="1"/>
  <c r="N22" i="68"/>
  <c r="P22" i="68" s="1"/>
  <c r="R22" i="68" s="1"/>
  <c r="I21" i="68"/>
  <c r="H21" i="68"/>
  <c r="G21" i="68"/>
  <c r="U102" i="67"/>
  <c r="U101" i="67"/>
  <c r="U100" i="67"/>
  <c r="U99" i="67"/>
  <c r="U98" i="67"/>
  <c r="U97" i="67"/>
  <c r="U96" i="67"/>
  <c r="U95" i="67"/>
  <c r="U94" i="67"/>
  <c r="U93" i="67"/>
  <c r="U92" i="67"/>
  <c r="U91" i="67"/>
  <c r="U90" i="67"/>
  <c r="U89" i="67"/>
  <c r="U88" i="67"/>
  <c r="U87" i="67"/>
  <c r="U86" i="67"/>
  <c r="U85" i="67"/>
  <c r="U84" i="67"/>
  <c r="U83" i="67"/>
  <c r="U82" i="67"/>
  <c r="U81" i="67"/>
  <c r="U80" i="67"/>
  <c r="U79" i="67"/>
  <c r="U78" i="67"/>
  <c r="U77" i="67"/>
  <c r="U76" i="67"/>
  <c r="U75" i="67"/>
  <c r="U74" i="67"/>
  <c r="U73" i="67"/>
  <c r="U72" i="67"/>
  <c r="U71" i="67"/>
  <c r="U70" i="67"/>
  <c r="U69" i="67"/>
  <c r="U68" i="67"/>
  <c r="U67" i="67"/>
  <c r="U66" i="67"/>
  <c r="U65" i="67"/>
  <c r="U64" i="67"/>
  <c r="U63" i="67"/>
  <c r="U62" i="67"/>
  <c r="U61" i="67"/>
  <c r="U60" i="67"/>
  <c r="U59" i="67"/>
  <c r="U58" i="67"/>
  <c r="U57" i="67"/>
  <c r="U56" i="67"/>
  <c r="U55" i="67"/>
  <c r="U54" i="67"/>
  <c r="U53" i="67"/>
  <c r="U52" i="67"/>
  <c r="U51" i="67"/>
  <c r="U50" i="67"/>
  <c r="U49" i="67"/>
  <c r="U48" i="67"/>
  <c r="U47" i="67"/>
  <c r="U46" i="67"/>
  <c r="U45" i="67"/>
  <c r="U44" i="67"/>
  <c r="U43" i="67"/>
  <c r="U42" i="67"/>
  <c r="U41" i="67"/>
  <c r="U40" i="67"/>
  <c r="U39" i="67"/>
  <c r="U38" i="67"/>
  <c r="U37" i="67"/>
  <c r="U36" i="67"/>
  <c r="U35" i="67"/>
  <c r="U34" i="67"/>
  <c r="U33" i="67"/>
  <c r="U32" i="67"/>
  <c r="U31" i="67"/>
  <c r="U30" i="67"/>
  <c r="U29" i="67"/>
  <c r="U28" i="67"/>
  <c r="U27" i="67"/>
  <c r="U26" i="67"/>
  <c r="U25" i="67"/>
  <c r="U24" i="67"/>
  <c r="U23" i="67"/>
  <c r="U22" i="67"/>
  <c r="N102" i="67"/>
  <c r="N101" i="67"/>
  <c r="P101" i="67" s="1"/>
  <c r="R101" i="67" s="1"/>
  <c r="N100" i="67"/>
  <c r="P100" i="67" s="1"/>
  <c r="R100" i="67" s="1"/>
  <c r="N99" i="67"/>
  <c r="P99" i="67" s="1"/>
  <c r="R99" i="67" s="1"/>
  <c r="N98" i="67"/>
  <c r="P98" i="67" s="1"/>
  <c r="R98" i="67" s="1"/>
  <c r="N97" i="67"/>
  <c r="P97" i="67" s="1"/>
  <c r="R97" i="67" s="1"/>
  <c r="N96" i="67"/>
  <c r="P96" i="67" s="1"/>
  <c r="R96" i="67" s="1"/>
  <c r="N95" i="67"/>
  <c r="P95" i="67" s="1"/>
  <c r="R95" i="67" s="1"/>
  <c r="N94" i="67"/>
  <c r="P94" i="67" s="1"/>
  <c r="R94" i="67" s="1"/>
  <c r="N93" i="67"/>
  <c r="P93" i="67" s="1"/>
  <c r="R93" i="67" s="1"/>
  <c r="N92" i="67"/>
  <c r="P92" i="67" s="1"/>
  <c r="R92" i="67" s="1"/>
  <c r="N91" i="67"/>
  <c r="N90" i="67"/>
  <c r="N89" i="67"/>
  <c r="N88" i="67"/>
  <c r="N87" i="67"/>
  <c r="N86" i="67"/>
  <c r="N85" i="67"/>
  <c r="P85" i="67" s="1"/>
  <c r="R85" i="67" s="1"/>
  <c r="N84" i="67"/>
  <c r="P84" i="67" s="1"/>
  <c r="R84" i="67" s="1"/>
  <c r="N83" i="67"/>
  <c r="P83" i="67" s="1"/>
  <c r="R83" i="67" s="1"/>
  <c r="N82" i="67"/>
  <c r="P82" i="67" s="1"/>
  <c r="R82" i="67" s="1"/>
  <c r="N81" i="67"/>
  <c r="P81" i="67" s="1"/>
  <c r="R81" i="67" s="1"/>
  <c r="N80" i="67"/>
  <c r="P80" i="67" s="1"/>
  <c r="R80" i="67" s="1"/>
  <c r="N79" i="67"/>
  <c r="P79" i="67" s="1"/>
  <c r="R79" i="67" s="1"/>
  <c r="N78" i="67"/>
  <c r="P78" i="67" s="1"/>
  <c r="R78" i="67" s="1"/>
  <c r="N77" i="67"/>
  <c r="P77" i="67" s="1"/>
  <c r="R77" i="67" s="1"/>
  <c r="N76" i="67"/>
  <c r="P76" i="67" s="1"/>
  <c r="R76" i="67" s="1"/>
  <c r="N75" i="67"/>
  <c r="P75" i="67" s="1"/>
  <c r="R75" i="67" s="1"/>
  <c r="N74" i="67"/>
  <c r="N73" i="67"/>
  <c r="N72" i="67"/>
  <c r="N71" i="67"/>
  <c r="N70" i="67"/>
  <c r="P70" i="67" s="1"/>
  <c r="R70" i="67" s="1"/>
  <c r="N69" i="67"/>
  <c r="P69" i="67" s="1"/>
  <c r="R69" i="67" s="1"/>
  <c r="N68" i="67"/>
  <c r="P68" i="67" s="1"/>
  <c r="R68" i="67" s="1"/>
  <c r="N67" i="67"/>
  <c r="P67" i="67" s="1"/>
  <c r="R67" i="67" s="1"/>
  <c r="N66" i="67"/>
  <c r="P66" i="67" s="1"/>
  <c r="R66" i="67" s="1"/>
  <c r="N65" i="67"/>
  <c r="P65" i="67" s="1"/>
  <c r="R65" i="67" s="1"/>
  <c r="N64" i="67"/>
  <c r="P64" i="67" s="1"/>
  <c r="R64" i="67" s="1"/>
  <c r="N63" i="67"/>
  <c r="P63" i="67" s="1"/>
  <c r="R63" i="67" s="1"/>
  <c r="N62" i="67"/>
  <c r="N61" i="67"/>
  <c r="N60" i="67"/>
  <c r="N59" i="67"/>
  <c r="N58" i="67"/>
  <c r="P58" i="67" s="1"/>
  <c r="R58" i="67" s="1"/>
  <c r="N57" i="67"/>
  <c r="N56" i="67"/>
  <c r="P56" i="67" s="1"/>
  <c r="R56" i="67" s="1"/>
  <c r="N55" i="67"/>
  <c r="P55" i="67" s="1"/>
  <c r="R55" i="67" s="1"/>
  <c r="N54" i="67"/>
  <c r="P54" i="67" s="1"/>
  <c r="R54" i="67" s="1"/>
  <c r="N53" i="67"/>
  <c r="P53" i="67" s="1"/>
  <c r="R53" i="67" s="1"/>
  <c r="N52" i="67"/>
  <c r="P52" i="67" s="1"/>
  <c r="R52" i="67" s="1"/>
  <c r="N51" i="67"/>
  <c r="P51" i="67" s="1"/>
  <c r="R51" i="67" s="1"/>
  <c r="N50" i="67"/>
  <c r="P50" i="67" s="1"/>
  <c r="R50" i="67" s="1"/>
  <c r="N49" i="67"/>
  <c r="P49" i="67" s="1"/>
  <c r="R49" i="67" s="1"/>
  <c r="N48" i="67"/>
  <c r="N47" i="67"/>
  <c r="N46" i="67"/>
  <c r="N45" i="67"/>
  <c r="N44" i="67"/>
  <c r="P44" i="67" s="1"/>
  <c r="R44" i="67" s="1"/>
  <c r="N43" i="67"/>
  <c r="P43" i="67" s="1"/>
  <c r="R43" i="67" s="1"/>
  <c r="N42" i="67"/>
  <c r="P42" i="67" s="1"/>
  <c r="R42" i="67" s="1"/>
  <c r="N41" i="67"/>
  <c r="P41" i="67" s="1"/>
  <c r="R41" i="67" s="1"/>
  <c r="N40" i="67"/>
  <c r="P40" i="67" s="1"/>
  <c r="R40" i="67" s="1"/>
  <c r="N39" i="67"/>
  <c r="P39" i="67" s="1"/>
  <c r="R39" i="67" s="1"/>
  <c r="N38" i="67"/>
  <c r="P38" i="67" s="1"/>
  <c r="R38" i="67" s="1"/>
  <c r="N37" i="67"/>
  <c r="P37" i="67" s="1"/>
  <c r="R37" i="67" s="1"/>
  <c r="N36" i="67"/>
  <c r="P36" i="67" s="1"/>
  <c r="R36" i="67" s="1"/>
  <c r="N35" i="67"/>
  <c r="N34" i="67"/>
  <c r="N33" i="67"/>
  <c r="P33" i="67" s="1"/>
  <c r="R33" i="67" s="1"/>
  <c r="N32" i="67"/>
  <c r="N31" i="67"/>
  <c r="P31" i="67" s="1"/>
  <c r="R31" i="67" s="1"/>
  <c r="N30" i="67"/>
  <c r="P30" i="67" s="1"/>
  <c r="R30" i="67" s="1"/>
  <c r="N29" i="67"/>
  <c r="P29" i="67" s="1"/>
  <c r="R29" i="67" s="1"/>
  <c r="N28" i="67"/>
  <c r="P28" i="67" s="1"/>
  <c r="R28" i="67" s="1"/>
  <c r="N27" i="67"/>
  <c r="P27" i="67" s="1"/>
  <c r="R27" i="67" s="1"/>
  <c r="N26" i="67"/>
  <c r="P26" i="67" s="1"/>
  <c r="R26" i="67" s="1"/>
  <c r="N25" i="67"/>
  <c r="P25" i="67" s="1"/>
  <c r="R25" i="67" s="1"/>
  <c r="N24" i="67"/>
  <c r="N23" i="67"/>
  <c r="P23" i="67" s="1"/>
  <c r="R23" i="67" s="1"/>
  <c r="N22" i="67"/>
  <c r="I21" i="67"/>
  <c r="H21" i="67"/>
  <c r="G21" i="67"/>
  <c r="U36" i="66"/>
  <c r="U35" i="66"/>
  <c r="U34" i="66"/>
  <c r="U33" i="66"/>
  <c r="U32" i="66"/>
  <c r="U31" i="66"/>
  <c r="U30" i="66"/>
  <c r="U29" i="66"/>
  <c r="U28" i="66"/>
  <c r="U27" i="66"/>
  <c r="U26" i="66"/>
  <c r="U25" i="66"/>
  <c r="U24" i="66"/>
  <c r="U23" i="66"/>
  <c r="U22" i="66"/>
  <c r="N36" i="66"/>
  <c r="P36" i="66" s="1"/>
  <c r="R36" i="66" s="1"/>
  <c r="N35" i="66"/>
  <c r="P35" i="66" s="1"/>
  <c r="R35" i="66" s="1"/>
  <c r="N34" i="66"/>
  <c r="P34" i="66" s="1"/>
  <c r="R34" i="66" s="1"/>
  <c r="N33" i="66"/>
  <c r="N32" i="66"/>
  <c r="N31" i="66"/>
  <c r="P31" i="66" s="1"/>
  <c r="R31" i="66" s="1"/>
  <c r="N30" i="66"/>
  <c r="P30" i="66" s="1"/>
  <c r="R30" i="66" s="1"/>
  <c r="N29" i="66"/>
  <c r="P29" i="66" s="1"/>
  <c r="R29" i="66" s="1"/>
  <c r="N28" i="66"/>
  <c r="P28" i="66" s="1"/>
  <c r="R28" i="66" s="1"/>
  <c r="N27" i="66"/>
  <c r="N26" i="66"/>
  <c r="N25" i="66"/>
  <c r="N24" i="66"/>
  <c r="N23" i="66"/>
  <c r="P23" i="66" s="1"/>
  <c r="R23" i="66" s="1"/>
  <c r="N22" i="66"/>
  <c r="P22" i="66" s="1"/>
  <c r="R22" i="66" s="1"/>
  <c r="I21" i="66"/>
  <c r="H21" i="66"/>
  <c r="G21" i="66"/>
  <c r="L6" i="22"/>
  <c r="H24" i="1" s="1"/>
  <c r="L5" i="22"/>
  <c r="H23" i="1" s="1"/>
  <c r="U103" i="65"/>
  <c r="V103" i="65" s="1"/>
  <c r="W103" i="65" s="1"/>
  <c r="U102" i="65"/>
  <c r="V102" i="65" s="1"/>
  <c r="U101" i="65"/>
  <c r="V101" i="65" s="1"/>
  <c r="W101" i="65" s="1"/>
  <c r="U100" i="65"/>
  <c r="U99" i="65"/>
  <c r="V99" i="65" s="1"/>
  <c r="W99" i="65" s="1"/>
  <c r="U98" i="65"/>
  <c r="V98" i="65" s="1"/>
  <c r="W98" i="65" s="1"/>
  <c r="U97" i="65"/>
  <c r="V97" i="65" s="1"/>
  <c r="W97" i="65" s="1"/>
  <c r="U96" i="65"/>
  <c r="V96" i="65" s="1"/>
  <c r="W96" i="65" s="1"/>
  <c r="U95" i="65"/>
  <c r="V95" i="65" s="1"/>
  <c r="W95" i="65" s="1"/>
  <c r="U94" i="65"/>
  <c r="V94" i="65" s="1"/>
  <c r="W94" i="65" s="1"/>
  <c r="U93" i="65"/>
  <c r="V93" i="65" s="1"/>
  <c r="W93" i="65" s="1"/>
  <c r="U92" i="65"/>
  <c r="V92" i="65" s="1"/>
  <c r="W92" i="65" s="1"/>
  <c r="U91" i="65"/>
  <c r="V91" i="65" s="1"/>
  <c r="W91" i="65" s="1"/>
  <c r="U90" i="65"/>
  <c r="V90" i="65" s="1"/>
  <c r="W90" i="65" s="1"/>
  <c r="U89" i="65"/>
  <c r="U88" i="65"/>
  <c r="U87" i="65"/>
  <c r="V87" i="65" s="1"/>
  <c r="W87" i="65" s="1"/>
  <c r="U86" i="65"/>
  <c r="U85" i="65"/>
  <c r="V85" i="65" s="1"/>
  <c r="W85" i="65" s="1"/>
  <c r="U84" i="65"/>
  <c r="V84" i="65" s="1"/>
  <c r="W84" i="65" s="1"/>
  <c r="U83" i="65"/>
  <c r="V83" i="65" s="1"/>
  <c r="U82" i="65"/>
  <c r="V82" i="65" s="1"/>
  <c r="U81" i="65"/>
  <c r="V81" i="65" s="1"/>
  <c r="W81" i="65" s="1"/>
  <c r="U80" i="65"/>
  <c r="V80" i="65" s="1"/>
  <c r="U79" i="65"/>
  <c r="V79" i="65" s="1"/>
  <c r="W79" i="65" s="1"/>
  <c r="U78" i="65"/>
  <c r="V78" i="65" s="1"/>
  <c r="W78" i="65" s="1"/>
  <c r="U77" i="65"/>
  <c r="U76" i="65"/>
  <c r="V76" i="65" s="1"/>
  <c r="W76" i="65" s="1"/>
  <c r="U75" i="65"/>
  <c r="V75" i="65" s="1"/>
  <c r="W75" i="65" s="1"/>
  <c r="U74" i="65"/>
  <c r="V74" i="65" s="1"/>
  <c r="W74" i="65" s="1"/>
  <c r="U73" i="65"/>
  <c r="U72" i="65"/>
  <c r="U71" i="65"/>
  <c r="V71" i="65" s="1"/>
  <c r="U70" i="65"/>
  <c r="V70" i="65" s="1"/>
  <c r="W70" i="65" s="1"/>
  <c r="U69" i="65"/>
  <c r="V69" i="65" s="1"/>
  <c r="W69" i="65" s="1"/>
  <c r="U68" i="65"/>
  <c r="U67" i="65"/>
  <c r="V67" i="65" s="1"/>
  <c r="W67" i="65" s="1"/>
  <c r="U66" i="65"/>
  <c r="V66" i="65" s="1"/>
  <c r="W66" i="65" s="1"/>
  <c r="U65" i="65"/>
  <c r="U64" i="65"/>
  <c r="V64" i="65" s="1"/>
  <c r="W64" i="65" s="1"/>
  <c r="U63" i="65"/>
  <c r="V63" i="65" s="1"/>
  <c r="W63" i="65" s="1"/>
  <c r="U62" i="65"/>
  <c r="V62" i="65" s="1"/>
  <c r="W62" i="65" s="1"/>
  <c r="U61" i="65"/>
  <c r="V61" i="65" s="1"/>
  <c r="W61" i="65" s="1"/>
  <c r="U60" i="65"/>
  <c r="V60" i="65" s="1"/>
  <c r="W60" i="65" s="1"/>
  <c r="U59" i="65"/>
  <c r="V59" i="65" s="1"/>
  <c r="W59" i="65" s="1"/>
  <c r="U58" i="65"/>
  <c r="V58" i="65" s="1"/>
  <c r="W58" i="65" s="1"/>
  <c r="U57" i="65"/>
  <c r="U56" i="65"/>
  <c r="V56" i="65" s="1"/>
  <c r="W56" i="65" s="1"/>
  <c r="U55" i="65"/>
  <c r="V55" i="65" s="1"/>
  <c r="U54" i="65"/>
  <c r="V54" i="65" s="1"/>
  <c r="W54" i="65" s="1"/>
  <c r="U53" i="65"/>
  <c r="V53" i="65" s="1"/>
  <c r="W53" i="65" s="1"/>
  <c r="U52" i="65"/>
  <c r="V52" i="65" s="1"/>
  <c r="W52" i="65" s="1"/>
  <c r="U51" i="65"/>
  <c r="V51" i="65" s="1"/>
  <c r="W51" i="65" s="1"/>
  <c r="U50" i="65"/>
  <c r="U49" i="65"/>
  <c r="V49" i="65" s="1"/>
  <c r="W49" i="65" s="1"/>
  <c r="U48" i="65"/>
  <c r="U47" i="65"/>
  <c r="V47" i="65" s="1"/>
  <c r="U46" i="65"/>
  <c r="V46" i="65" s="1"/>
  <c r="W46" i="65" s="1"/>
  <c r="U45" i="65"/>
  <c r="V45" i="65" s="1"/>
  <c r="W45" i="65" s="1"/>
  <c r="U44" i="65"/>
  <c r="V44" i="65" s="1"/>
  <c r="W44" i="65" s="1"/>
  <c r="U43" i="65"/>
  <c r="V43" i="65" s="1"/>
  <c r="W43" i="65" s="1"/>
  <c r="U42" i="65"/>
  <c r="V42" i="65" s="1"/>
  <c r="W42" i="65" s="1"/>
  <c r="U41" i="65"/>
  <c r="V41" i="65" s="1"/>
  <c r="W41" i="65" s="1"/>
  <c r="U40" i="65"/>
  <c r="U39" i="65"/>
  <c r="V39" i="65" s="1"/>
  <c r="W39" i="65" s="1"/>
  <c r="U38" i="65"/>
  <c r="V38" i="65" s="1"/>
  <c r="W38" i="65" s="1"/>
  <c r="U37" i="65"/>
  <c r="V37" i="65" s="1"/>
  <c r="W37" i="65" s="1"/>
  <c r="U36" i="65"/>
  <c r="U35" i="65"/>
  <c r="U34" i="65"/>
  <c r="V34" i="65" s="1"/>
  <c r="W34" i="65" s="1"/>
  <c r="U33" i="65"/>
  <c r="V33" i="65" s="1"/>
  <c r="W33" i="65" s="1"/>
  <c r="U32" i="65"/>
  <c r="V32" i="65" s="1"/>
  <c r="W32" i="65" s="1"/>
  <c r="U31" i="65"/>
  <c r="V31" i="65" s="1"/>
  <c r="W31" i="65" s="1"/>
  <c r="U30" i="65"/>
  <c r="V30" i="65" s="1"/>
  <c r="W30" i="65" s="1"/>
  <c r="U29" i="65"/>
  <c r="V29" i="65" s="1"/>
  <c r="W29" i="65" s="1"/>
  <c r="U28" i="65"/>
  <c r="V28" i="65" s="1"/>
  <c r="W28" i="65" s="1"/>
  <c r="U27" i="65"/>
  <c r="V27" i="65" s="1"/>
  <c r="W27" i="65" s="1"/>
  <c r="U26" i="65"/>
  <c r="V26" i="65" s="1"/>
  <c r="W26" i="65" s="1"/>
  <c r="U25" i="65"/>
  <c r="V25" i="65" s="1"/>
  <c r="W25" i="65" s="1"/>
  <c r="U24" i="65"/>
  <c r="V24" i="65" s="1"/>
  <c r="W24" i="65" s="1"/>
  <c r="U23" i="65"/>
  <c r="V23" i="65" s="1"/>
  <c r="W23" i="65" s="1"/>
  <c r="U22" i="65"/>
  <c r="V22" i="65" s="1"/>
  <c r="W22" i="65" s="1"/>
  <c r="N103" i="65"/>
  <c r="P103" i="65" s="1"/>
  <c r="N102" i="65"/>
  <c r="N101" i="65"/>
  <c r="P101" i="65" s="1"/>
  <c r="N100" i="65"/>
  <c r="P100" i="65" s="1"/>
  <c r="N99" i="65"/>
  <c r="N98" i="65"/>
  <c r="P98" i="65" s="1"/>
  <c r="N97" i="65"/>
  <c r="N96" i="65"/>
  <c r="P96" i="65" s="1"/>
  <c r="N95" i="65"/>
  <c r="N94" i="65"/>
  <c r="P94" i="65" s="1"/>
  <c r="N93" i="65"/>
  <c r="X93" i="65" s="1"/>
  <c r="N92" i="65"/>
  <c r="P92" i="65" s="1"/>
  <c r="N91" i="65"/>
  <c r="N90" i="65"/>
  <c r="P90" i="65" s="1"/>
  <c r="N89" i="65"/>
  <c r="N88" i="65"/>
  <c r="P88" i="65" s="1"/>
  <c r="N87" i="65"/>
  <c r="P87" i="65" s="1"/>
  <c r="N86" i="65"/>
  <c r="P86" i="65" s="1"/>
  <c r="N85" i="65"/>
  <c r="P85" i="65" s="1"/>
  <c r="N84" i="65"/>
  <c r="N83" i="65"/>
  <c r="P83" i="65" s="1"/>
  <c r="N82" i="65"/>
  <c r="N81" i="65"/>
  <c r="P81" i="65" s="1"/>
  <c r="N80" i="65"/>
  <c r="P80" i="65" s="1"/>
  <c r="N79" i="65"/>
  <c r="N78" i="65"/>
  <c r="P78" i="65" s="1"/>
  <c r="N77" i="65"/>
  <c r="N76" i="65"/>
  <c r="P76" i="65" s="1"/>
  <c r="N75" i="65"/>
  <c r="P75" i="65" s="1"/>
  <c r="N74" i="65"/>
  <c r="P74" i="65" s="1"/>
  <c r="N73" i="65"/>
  <c r="N72" i="65"/>
  <c r="P72" i="65" s="1"/>
  <c r="N71" i="65"/>
  <c r="N70" i="65"/>
  <c r="P70" i="65" s="1"/>
  <c r="N69" i="65"/>
  <c r="P69" i="65" s="1"/>
  <c r="N68" i="65"/>
  <c r="P68" i="65" s="1"/>
  <c r="N67" i="65"/>
  <c r="P67" i="65" s="1"/>
  <c r="N66" i="65"/>
  <c r="P66" i="65" s="1"/>
  <c r="N65" i="65"/>
  <c r="N64" i="65"/>
  <c r="P64" i="65" s="1"/>
  <c r="N63" i="65"/>
  <c r="P63" i="65" s="1"/>
  <c r="N62" i="65"/>
  <c r="P62" i="65" s="1"/>
  <c r="N61" i="65"/>
  <c r="P61" i="65" s="1"/>
  <c r="N60" i="65"/>
  <c r="P60" i="65" s="1"/>
  <c r="N59" i="65"/>
  <c r="N58" i="65"/>
  <c r="P58" i="65" s="1"/>
  <c r="N57" i="65"/>
  <c r="P57" i="65" s="1"/>
  <c r="N56" i="65"/>
  <c r="N55" i="65"/>
  <c r="P55" i="65" s="1"/>
  <c r="N54" i="65"/>
  <c r="N53" i="65"/>
  <c r="P53" i="65" s="1"/>
  <c r="N52" i="65"/>
  <c r="P52" i="65" s="1"/>
  <c r="N51" i="65"/>
  <c r="P51" i="65" s="1"/>
  <c r="N50" i="65"/>
  <c r="P50" i="65" s="1"/>
  <c r="N49" i="65"/>
  <c r="P49" i="65" s="1"/>
  <c r="N48" i="65"/>
  <c r="P48" i="65" s="1"/>
  <c r="N47" i="65"/>
  <c r="N46" i="65"/>
  <c r="N45" i="65"/>
  <c r="P45" i="65" s="1"/>
  <c r="N44" i="65"/>
  <c r="N43" i="65"/>
  <c r="P43" i="65" s="1"/>
  <c r="N42" i="65"/>
  <c r="N41" i="65"/>
  <c r="P41" i="65" s="1"/>
  <c r="N40" i="65"/>
  <c r="P40" i="65" s="1"/>
  <c r="N39" i="65"/>
  <c r="P39" i="65" s="1"/>
  <c r="N38" i="65"/>
  <c r="P38" i="65" s="1"/>
  <c r="N37" i="65"/>
  <c r="P37" i="65" s="1"/>
  <c r="N36" i="65"/>
  <c r="P36" i="65" s="1"/>
  <c r="N35" i="65"/>
  <c r="N34" i="65"/>
  <c r="P34" i="65" s="1"/>
  <c r="N33" i="65"/>
  <c r="N32" i="65"/>
  <c r="P32" i="65" s="1"/>
  <c r="N31" i="65"/>
  <c r="P31" i="65" s="1"/>
  <c r="N30" i="65"/>
  <c r="N29" i="65"/>
  <c r="N28" i="65"/>
  <c r="P28" i="65" s="1"/>
  <c r="N27" i="65"/>
  <c r="X27" i="65" s="1"/>
  <c r="N26" i="65"/>
  <c r="P26" i="65" s="1"/>
  <c r="N25" i="65"/>
  <c r="P25" i="65" s="1"/>
  <c r="N24" i="65"/>
  <c r="P24" i="65" s="1"/>
  <c r="N23" i="65"/>
  <c r="P23" i="65" s="1"/>
  <c r="N22" i="65"/>
  <c r="P22" i="65" s="1"/>
  <c r="I21" i="65"/>
  <c r="H21" i="65"/>
  <c r="G21" i="65"/>
  <c r="V100" i="65"/>
  <c r="W100" i="65" s="1"/>
  <c r="V89" i="65"/>
  <c r="W89" i="65" s="1"/>
  <c r="V88" i="65"/>
  <c r="W88" i="65" s="1"/>
  <c r="V73" i="65"/>
  <c r="W73" i="65" s="1"/>
  <c r="V72" i="65"/>
  <c r="W72" i="65" s="1"/>
  <c r="V57" i="65"/>
  <c r="W57" i="65" s="1"/>
  <c r="V40" i="65"/>
  <c r="W40" i="65" s="1"/>
  <c r="U131" i="64"/>
  <c r="V131" i="64" s="1"/>
  <c r="W131" i="64" s="1"/>
  <c r="U130" i="64"/>
  <c r="V130" i="64" s="1"/>
  <c r="W130" i="64" s="1"/>
  <c r="U129" i="64"/>
  <c r="V129" i="64" s="1"/>
  <c r="W129" i="64" s="1"/>
  <c r="U128" i="64"/>
  <c r="V128" i="64" s="1"/>
  <c r="W128" i="64" s="1"/>
  <c r="U127" i="64"/>
  <c r="U126" i="64"/>
  <c r="V126" i="64" s="1"/>
  <c r="W126" i="64" s="1"/>
  <c r="U125" i="64"/>
  <c r="V125" i="64" s="1"/>
  <c r="W125" i="64" s="1"/>
  <c r="U124" i="64"/>
  <c r="V124" i="64" s="1"/>
  <c r="W124" i="64" s="1"/>
  <c r="U123" i="64"/>
  <c r="V123" i="64" s="1"/>
  <c r="W123" i="64" s="1"/>
  <c r="U122" i="64"/>
  <c r="V122" i="64" s="1"/>
  <c r="W122" i="64" s="1"/>
  <c r="U121" i="64"/>
  <c r="V121" i="64" s="1"/>
  <c r="W121" i="64" s="1"/>
  <c r="U120" i="64"/>
  <c r="V120" i="64" s="1"/>
  <c r="W120" i="64" s="1"/>
  <c r="U119" i="64"/>
  <c r="V119" i="64" s="1"/>
  <c r="W119" i="64" s="1"/>
  <c r="U118" i="64"/>
  <c r="U117" i="64"/>
  <c r="U116" i="64"/>
  <c r="U115" i="64"/>
  <c r="V115" i="64" s="1"/>
  <c r="W115" i="64" s="1"/>
  <c r="U114" i="64"/>
  <c r="V114" i="64" s="1"/>
  <c r="W114" i="64" s="1"/>
  <c r="U113" i="64"/>
  <c r="V113" i="64" s="1"/>
  <c r="W113" i="64" s="1"/>
  <c r="U112" i="64"/>
  <c r="V112" i="64" s="1"/>
  <c r="W112" i="64" s="1"/>
  <c r="U111" i="64"/>
  <c r="V111" i="64" s="1"/>
  <c r="W111" i="64" s="1"/>
  <c r="U110" i="64"/>
  <c r="U109" i="64"/>
  <c r="U108" i="64"/>
  <c r="U107" i="64"/>
  <c r="V107" i="64" s="1"/>
  <c r="W107" i="64" s="1"/>
  <c r="U106" i="64"/>
  <c r="U105" i="64"/>
  <c r="V105" i="64" s="1"/>
  <c r="W105" i="64" s="1"/>
  <c r="U104" i="64"/>
  <c r="V104" i="64" s="1"/>
  <c r="W104" i="64" s="1"/>
  <c r="U103" i="64"/>
  <c r="V103" i="64" s="1"/>
  <c r="W103" i="64" s="1"/>
  <c r="U102" i="64"/>
  <c r="V102" i="64" s="1"/>
  <c r="W102" i="64" s="1"/>
  <c r="U101" i="64"/>
  <c r="V101" i="64" s="1"/>
  <c r="W101" i="64" s="1"/>
  <c r="U100" i="64"/>
  <c r="U99" i="64"/>
  <c r="V99" i="64" s="1"/>
  <c r="W99" i="64" s="1"/>
  <c r="U98" i="64"/>
  <c r="V98" i="64" s="1"/>
  <c r="W98" i="64" s="1"/>
  <c r="U97" i="64"/>
  <c r="V97" i="64" s="1"/>
  <c r="W97" i="64" s="1"/>
  <c r="U96" i="64"/>
  <c r="V96" i="64" s="1"/>
  <c r="W96" i="64" s="1"/>
  <c r="U95" i="64"/>
  <c r="V95" i="64" s="1"/>
  <c r="W95" i="64" s="1"/>
  <c r="U94" i="64"/>
  <c r="V94" i="64" s="1"/>
  <c r="W94" i="64" s="1"/>
  <c r="U93" i="64"/>
  <c r="V93" i="64" s="1"/>
  <c r="W93" i="64" s="1"/>
  <c r="U92" i="64"/>
  <c r="V92" i="64" s="1"/>
  <c r="W92" i="64" s="1"/>
  <c r="U91" i="64"/>
  <c r="V91" i="64" s="1"/>
  <c r="W91" i="64" s="1"/>
  <c r="U90" i="64"/>
  <c r="V90" i="64" s="1"/>
  <c r="W90" i="64" s="1"/>
  <c r="U89" i="64"/>
  <c r="V89" i="64" s="1"/>
  <c r="W89" i="64" s="1"/>
  <c r="U88" i="64"/>
  <c r="V88" i="64" s="1"/>
  <c r="W88" i="64" s="1"/>
  <c r="U87" i="64"/>
  <c r="V87" i="64" s="1"/>
  <c r="W87" i="64" s="1"/>
  <c r="U86" i="64"/>
  <c r="V86" i="64" s="1"/>
  <c r="W86" i="64" s="1"/>
  <c r="U85" i="64"/>
  <c r="V85" i="64" s="1"/>
  <c r="W85" i="64" s="1"/>
  <c r="U84" i="64"/>
  <c r="U83" i="64"/>
  <c r="V83" i="64" s="1"/>
  <c r="W83" i="64" s="1"/>
  <c r="U82" i="64"/>
  <c r="V82" i="64" s="1"/>
  <c r="W82" i="64" s="1"/>
  <c r="U81" i="64"/>
  <c r="V81" i="64" s="1"/>
  <c r="W81" i="64" s="1"/>
  <c r="U80" i="64"/>
  <c r="V80" i="64" s="1"/>
  <c r="W80" i="64" s="1"/>
  <c r="U79" i="64"/>
  <c r="V79" i="64" s="1"/>
  <c r="W79" i="64" s="1"/>
  <c r="U78" i="64"/>
  <c r="V78" i="64" s="1"/>
  <c r="W78" i="64" s="1"/>
  <c r="U77" i="64"/>
  <c r="V77" i="64" s="1"/>
  <c r="W77" i="64" s="1"/>
  <c r="U76" i="64"/>
  <c r="V76" i="64" s="1"/>
  <c r="W76" i="64" s="1"/>
  <c r="U75" i="64"/>
  <c r="V75" i="64" s="1"/>
  <c r="W75" i="64" s="1"/>
  <c r="U74" i="64"/>
  <c r="V74" i="64" s="1"/>
  <c r="W74" i="64" s="1"/>
  <c r="U73" i="64"/>
  <c r="V73" i="64" s="1"/>
  <c r="W73" i="64" s="1"/>
  <c r="U72" i="64"/>
  <c r="V72" i="64" s="1"/>
  <c r="W72" i="64" s="1"/>
  <c r="U71" i="64"/>
  <c r="V71" i="64" s="1"/>
  <c r="W71" i="64" s="1"/>
  <c r="U70" i="64"/>
  <c r="V70" i="64" s="1"/>
  <c r="W70" i="64" s="1"/>
  <c r="U69" i="64"/>
  <c r="V69" i="64" s="1"/>
  <c r="U68" i="64"/>
  <c r="V68" i="64" s="1"/>
  <c r="W68" i="64" s="1"/>
  <c r="U67" i="64"/>
  <c r="V67" i="64" s="1"/>
  <c r="W67" i="64" s="1"/>
  <c r="U66" i="64"/>
  <c r="V66" i="64" s="1"/>
  <c r="W66" i="64" s="1"/>
  <c r="U65" i="64"/>
  <c r="V65" i="64" s="1"/>
  <c r="W65" i="64" s="1"/>
  <c r="U64" i="64"/>
  <c r="V64" i="64" s="1"/>
  <c r="W64" i="64" s="1"/>
  <c r="U63" i="64"/>
  <c r="U62" i="64"/>
  <c r="V62" i="64" s="1"/>
  <c r="W62" i="64" s="1"/>
  <c r="U61" i="64"/>
  <c r="V61" i="64" s="1"/>
  <c r="W61" i="64" s="1"/>
  <c r="U60" i="64"/>
  <c r="V60" i="64" s="1"/>
  <c r="W60" i="64" s="1"/>
  <c r="U59" i="64"/>
  <c r="V59" i="64" s="1"/>
  <c r="W59" i="64" s="1"/>
  <c r="U58" i="64"/>
  <c r="V58" i="64" s="1"/>
  <c r="W58" i="64" s="1"/>
  <c r="U57" i="64"/>
  <c r="U56" i="64"/>
  <c r="V56" i="64" s="1"/>
  <c r="W56" i="64" s="1"/>
  <c r="U55" i="64"/>
  <c r="V55" i="64" s="1"/>
  <c r="W55" i="64" s="1"/>
  <c r="U54" i="64"/>
  <c r="V54" i="64" s="1"/>
  <c r="W54" i="64" s="1"/>
  <c r="U53" i="64"/>
  <c r="V53" i="64" s="1"/>
  <c r="W53" i="64" s="1"/>
  <c r="U52" i="64"/>
  <c r="V52" i="64" s="1"/>
  <c r="W52" i="64" s="1"/>
  <c r="U51" i="64"/>
  <c r="V51" i="64" s="1"/>
  <c r="W51" i="64" s="1"/>
  <c r="U50" i="64"/>
  <c r="U49" i="64"/>
  <c r="V49" i="64" s="1"/>
  <c r="W49" i="64" s="1"/>
  <c r="U48" i="64"/>
  <c r="V48" i="64" s="1"/>
  <c r="W48" i="64" s="1"/>
  <c r="U47" i="64"/>
  <c r="V47" i="64" s="1"/>
  <c r="W47" i="64" s="1"/>
  <c r="U46" i="64"/>
  <c r="V46" i="64" s="1"/>
  <c r="W46" i="64" s="1"/>
  <c r="U45" i="64"/>
  <c r="V45" i="64" s="1"/>
  <c r="W45" i="64" s="1"/>
  <c r="U44" i="64"/>
  <c r="V44" i="64" s="1"/>
  <c r="W44" i="64" s="1"/>
  <c r="U43" i="64"/>
  <c r="V43" i="64" s="1"/>
  <c r="W43" i="64" s="1"/>
  <c r="U42" i="64"/>
  <c r="V42" i="64" s="1"/>
  <c r="W42" i="64" s="1"/>
  <c r="U41" i="64"/>
  <c r="V41" i="64" s="1"/>
  <c r="W41" i="64" s="1"/>
  <c r="U40" i="64"/>
  <c r="V40" i="64" s="1"/>
  <c r="W40" i="64" s="1"/>
  <c r="U39" i="64"/>
  <c r="V39" i="64" s="1"/>
  <c r="W39" i="64" s="1"/>
  <c r="U38" i="64"/>
  <c r="V38" i="64" s="1"/>
  <c r="W38" i="64" s="1"/>
  <c r="U37" i="64"/>
  <c r="V37" i="64" s="1"/>
  <c r="W37" i="64" s="1"/>
  <c r="U36" i="64"/>
  <c r="V36" i="64" s="1"/>
  <c r="W36" i="64" s="1"/>
  <c r="U35" i="64"/>
  <c r="V35" i="64" s="1"/>
  <c r="W35" i="64" s="1"/>
  <c r="U34" i="64"/>
  <c r="V34" i="64" s="1"/>
  <c r="W34" i="64" s="1"/>
  <c r="U33" i="64"/>
  <c r="V33" i="64" s="1"/>
  <c r="W33" i="64" s="1"/>
  <c r="U32" i="64"/>
  <c r="V32" i="64" s="1"/>
  <c r="W32" i="64" s="1"/>
  <c r="U31" i="64"/>
  <c r="V31" i="64" s="1"/>
  <c r="W31" i="64" s="1"/>
  <c r="U30" i="64"/>
  <c r="V30" i="64" s="1"/>
  <c r="U29" i="64"/>
  <c r="V29" i="64" s="1"/>
  <c r="W29" i="64" s="1"/>
  <c r="U28" i="64"/>
  <c r="V28" i="64" s="1"/>
  <c r="W28" i="64" s="1"/>
  <c r="U27" i="64"/>
  <c r="V27" i="64" s="1"/>
  <c r="W27" i="64" s="1"/>
  <c r="U26" i="64"/>
  <c r="V26" i="64" s="1"/>
  <c r="W26" i="64" s="1"/>
  <c r="U25" i="64"/>
  <c r="V25" i="64" s="1"/>
  <c r="W25" i="64" s="1"/>
  <c r="U24" i="64"/>
  <c r="V24" i="64" s="1"/>
  <c r="W24" i="64" s="1"/>
  <c r="U23" i="64"/>
  <c r="V23" i="64" s="1"/>
  <c r="W23" i="64" s="1"/>
  <c r="U22" i="64"/>
  <c r="N131" i="64"/>
  <c r="P131" i="64" s="1"/>
  <c r="N130" i="64"/>
  <c r="P130" i="64" s="1"/>
  <c r="N129" i="64"/>
  <c r="X129" i="64" s="1"/>
  <c r="N128" i="64"/>
  <c r="P128" i="64" s="1"/>
  <c r="N127" i="64"/>
  <c r="P127" i="64" s="1"/>
  <c r="N126" i="64"/>
  <c r="P126" i="64" s="1"/>
  <c r="N125" i="64"/>
  <c r="X125" i="64" s="1"/>
  <c r="N124" i="64"/>
  <c r="P124" i="64" s="1"/>
  <c r="N123" i="64"/>
  <c r="X123" i="64" s="1"/>
  <c r="N122" i="64"/>
  <c r="N121" i="64"/>
  <c r="P121" i="64" s="1"/>
  <c r="N120" i="64"/>
  <c r="N119" i="64"/>
  <c r="P119" i="64" s="1"/>
  <c r="N118" i="64"/>
  <c r="P118" i="64" s="1"/>
  <c r="N117" i="64"/>
  <c r="P117" i="64" s="1"/>
  <c r="N116" i="64"/>
  <c r="X116" i="64" s="1"/>
  <c r="N115" i="64"/>
  <c r="P115" i="64" s="1"/>
  <c r="N114" i="64"/>
  <c r="P114" i="64" s="1"/>
  <c r="N113" i="64"/>
  <c r="P113" i="64" s="1"/>
  <c r="N112" i="64"/>
  <c r="P112" i="64" s="1"/>
  <c r="N111" i="64"/>
  <c r="P111" i="64" s="1"/>
  <c r="N110" i="64"/>
  <c r="P110" i="64" s="1"/>
  <c r="N109" i="64"/>
  <c r="N108" i="64"/>
  <c r="P108" i="64" s="1"/>
  <c r="N107" i="64"/>
  <c r="N106" i="64"/>
  <c r="P106" i="64" s="1"/>
  <c r="N105" i="64"/>
  <c r="P105" i="64" s="1"/>
  <c r="N104" i="64"/>
  <c r="X104" i="64" s="1"/>
  <c r="N103" i="64"/>
  <c r="P103" i="64" s="1"/>
  <c r="N102" i="64"/>
  <c r="P102" i="64" s="1"/>
  <c r="N101" i="64"/>
  <c r="P101" i="64" s="1"/>
  <c r="N100" i="64"/>
  <c r="P100" i="64" s="1"/>
  <c r="N99" i="64"/>
  <c r="X99" i="64" s="1"/>
  <c r="N98" i="64"/>
  <c r="P98" i="64" s="1"/>
  <c r="N97" i="64"/>
  <c r="X97" i="64" s="1"/>
  <c r="N96" i="64"/>
  <c r="P96" i="64" s="1"/>
  <c r="N95" i="64"/>
  <c r="X95" i="64" s="1"/>
  <c r="N94" i="64"/>
  <c r="P94" i="64" s="1"/>
  <c r="N93" i="64"/>
  <c r="N92" i="64"/>
  <c r="P92" i="64" s="1"/>
  <c r="N91" i="64"/>
  <c r="P91" i="64" s="1"/>
  <c r="N90" i="64"/>
  <c r="P90" i="64" s="1"/>
  <c r="N89" i="64"/>
  <c r="X89" i="64" s="1"/>
  <c r="N88" i="64"/>
  <c r="P88" i="64" s="1"/>
  <c r="N87" i="64"/>
  <c r="P87" i="64" s="1"/>
  <c r="N86" i="64"/>
  <c r="P86" i="64" s="1"/>
  <c r="N85" i="64"/>
  <c r="P85" i="64" s="1"/>
  <c r="N84" i="64"/>
  <c r="P84" i="64" s="1"/>
  <c r="N83" i="64"/>
  <c r="P83" i="64" s="1"/>
  <c r="N82" i="64"/>
  <c r="X82" i="64" s="1"/>
  <c r="N81" i="64"/>
  <c r="P81" i="64" s="1"/>
  <c r="N80" i="64"/>
  <c r="P80" i="64" s="1"/>
  <c r="N79" i="64"/>
  <c r="P79" i="64" s="1"/>
  <c r="N78" i="64"/>
  <c r="P78" i="64" s="1"/>
  <c r="N77" i="64"/>
  <c r="X77" i="64" s="1"/>
  <c r="N76" i="64"/>
  <c r="P76" i="64" s="1"/>
  <c r="N75" i="64"/>
  <c r="X75" i="64" s="1"/>
  <c r="N74" i="64"/>
  <c r="P74" i="64" s="1"/>
  <c r="N73" i="64"/>
  <c r="N72" i="64"/>
  <c r="P72" i="64" s="1"/>
  <c r="N71" i="64"/>
  <c r="P71" i="64" s="1"/>
  <c r="N70" i="64"/>
  <c r="P70" i="64" s="1"/>
  <c r="N69" i="64"/>
  <c r="P69" i="64" s="1"/>
  <c r="N68" i="64"/>
  <c r="P68" i="64" s="1"/>
  <c r="N67" i="64"/>
  <c r="P67" i="64" s="1"/>
  <c r="N66" i="64"/>
  <c r="P66" i="64" s="1"/>
  <c r="N65" i="64"/>
  <c r="P65" i="64" s="1"/>
  <c r="N64" i="64"/>
  <c r="P64" i="64" s="1"/>
  <c r="N63" i="64"/>
  <c r="P63" i="64" s="1"/>
  <c r="N62" i="64"/>
  <c r="P62" i="64" s="1"/>
  <c r="N61" i="64"/>
  <c r="P61" i="64" s="1"/>
  <c r="N60" i="64"/>
  <c r="P60" i="64" s="1"/>
  <c r="N59" i="64"/>
  <c r="P59" i="64" s="1"/>
  <c r="N58" i="64"/>
  <c r="P58" i="64" s="1"/>
  <c r="N57" i="64"/>
  <c r="N56" i="64"/>
  <c r="P56" i="64" s="1"/>
  <c r="N55" i="64"/>
  <c r="P55" i="64" s="1"/>
  <c r="N54" i="64"/>
  <c r="P54" i="64" s="1"/>
  <c r="N53" i="64"/>
  <c r="P53" i="64" s="1"/>
  <c r="N52" i="64"/>
  <c r="P52" i="64" s="1"/>
  <c r="N51" i="64"/>
  <c r="P51" i="64" s="1"/>
  <c r="N50" i="64"/>
  <c r="P50" i="64" s="1"/>
  <c r="N49" i="64"/>
  <c r="P49" i="64" s="1"/>
  <c r="N48" i="64"/>
  <c r="P48" i="64" s="1"/>
  <c r="N47" i="64"/>
  <c r="P47" i="64" s="1"/>
  <c r="N46" i="64"/>
  <c r="P46" i="64" s="1"/>
  <c r="N45" i="64"/>
  <c r="X45" i="64" s="1"/>
  <c r="N44" i="64"/>
  <c r="N43" i="64"/>
  <c r="P43" i="64" s="1"/>
  <c r="N42" i="64"/>
  <c r="P42" i="64" s="1"/>
  <c r="N41" i="64"/>
  <c r="X41" i="64" s="1"/>
  <c r="N40" i="64"/>
  <c r="P40" i="64" s="1"/>
  <c r="N39" i="64"/>
  <c r="P39" i="64" s="1"/>
  <c r="N38" i="64"/>
  <c r="P38" i="64" s="1"/>
  <c r="N37" i="64"/>
  <c r="P37" i="64" s="1"/>
  <c r="N36" i="64"/>
  <c r="P36" i="64" s="1"/>
  <c r="N35" i="64"/>
  <c r="P35" i="64" s="1"/>
  <c r="N34" i="64"/>
  <c r="P34" i="64" s="1"/>
  <c r="N33" i="64"/>
  <c r="P33" i="64" s="1"/>
  <c r="N32" i="64"/>
  <c r="X32" i="64" s="1"/>
  <c r="N31" i="64"/>
  <c r="P31" i="64" s="1"/>
  <c r="N30" i="64"/>
  <c r="N29" i="64"/>
  <c r="P29" i="64" s="1"/>
  <c r="N28" i="64"/>
  <c r="N27" i="64"/>
  <c r="X27" i="64" s="1"/>
  <c r="N26" i="64"/>
  <c r="X26" i="64" s="1"/>
  <c r="N25" i="64"/>
  <c r="P25" i="64" s="1"/>
  <c r="N24" i="64"/>
  <c r="P24" i="64" s="1"/>
  <c r="N23" i="64"/>
  <c r="P23" i="64" s="1"/>
  <c r="N22" i="64"/>
  <c r="P22" i="64" s="1"/>
  <c r="I21" i="64"/>
  <c r="H21" i="64"/>
  <c r="G21" i="64"/>
  <c r="V116" i="64"/>
  <c r="W116" i="64" s="1"/>
  <c r="V100" i="64"/>
  <c r="W100" i="64" s="1"/>
  <c r="V84" i="64"/>
  <c r="W84" i="64" s="1"/>
  <c r="U120" i="63"/>
  <c r="U119" i="63"/>
  <c r="U118" i="63"/>
  <c r="U117" i="63"/>
  <c r="U116" i="63"/>
  <c r="U115" i="63"/>
  <c r="U114" i="63"/>
  <c r="U113" i="63"/>
  <c r="U112" i="63"/>
  <c r="U111" i="63"/>
  <c r="U110" i="63"/>
  <c r="U109" i="63"/>
  <c r="U108" i="63"/>
  <c r="U107" i="63"/>
  <c r="U106" i="63"/>
  <c r="U105" i="63"/>
  <c r="U104" i="63"/>
  <c r="U103" i="63"/>
  <c r="U102" i="63"/>
  <c r="U101" i="63"/>
  <c r="U100" i="63"/>
  <c r="U99" i="63"/>
  <c r="U98" i="63"/>
  <c r="U97" i="63"/>
  <c r="U96" i="63"/>
  <c r="U95" i="63"/>
  <c r="U94" i="63"/>
  <c r="U93" i="63"/>
  <c r="U92" i="63"/>
  <c r="U91" i="63"/>
  <c r="U90" i="63"/>
  <c r="U89" i="63"/>
  <c r="U88" i="63"/>
  <c r="U87" i="63"/>
  <c r="U86" i="63"/>
  <c r="U85" i="63"/>
  <c r="U84" i="63"/>
  <c r="U83" i="63"/>
  <c r="U82" i="63"/>
  <c r="U81" i="63"/>
  <c r="U80" i="63"/>
  <c r="U79" i="63"/>
  <c r="U78" i="63"/>
  <c r="U77" i="63"/>
  <c r="U76" i="63"/>
  <c r="U75" i="63"/>
  <c r="U74" i="63"/>
  <c r="U73" i="63"/>
  <c r="U72" i="63"/>
  <c r="U71" i="63"/>
  <c r="U70" i="63"/>
  <c r="U69" i="63"/>
  <c r="U68" i="63"/>
  <c r="U67" i="63"/>
  <c r="U66" i="63"/>
  <c r="U65" i="63"/>
  <c r="U64" i="63"/>
  <c r="U63" i="63"/>
  <c r="U62" i="63"/>
  <c r="U61" i="63"/>
  <c r="U60" i="63"/>
  <c r="U59" i="63"/>
  <c r="U58" i="63"/>
  <c r="U57" i="63"/>
  <c r="U56" i="63"/>
  <c r="U55" i="63"/>
  <c r="U54" i="63"/>
  <c r="U53" i="63"/>
  <c r="U52" i="63"/>
  <c r="U51" i="63"/>
  <c r="U50" i="63"/>
  <c r="U49" i="63"/>
  <c r="U48" i="63"/>
  <c r="U47" i="63"/>
  <c r="U46" i="63"/>
  <c r="U45" i="63"/>
  <c r="U44" i="63"/>
  <c r="U43" i="63"/>
  <c r="U42" i="63"/>
  <c r="U41" i="63"/>
  <c r="U40" i="63"/>
  <c r="U39" i="63"/>
  <c r="U38" i="63"/>
  <c r="U37" i="63"/>
  <c r="U36" i="63"/>
  <c r="U35" i="63"/>
  <c r="U34" i="63"/>
  <c r="U33" i="63"/>
  <c r="U32" i="63"/>
  <c r="U31" i="63"/>
  <c r="U30" i="63"/>
  <c r="U29" i="63"/>
  <c r="U28" i="63"/>
  <c r="U27" i="63"/>
  <c r="U26" i="63"/>
  <c r="U25" i="63"/>
  <c r="U24" i="63"/>
  <c r="U23" i="63"/>
  <c r="U22" i="63"/>
  <c r="N120" i="63"/>
  <c r="N119" i="63"/>
  <c r="N118" i="63"/>
  <c r="P118" i="63" s="1"/>
  <c r="R118" i="63" s="1"/>
  <c r="N117" i="63"/>
  <c r="N116" i="63"/>
  <c r="N115" i="63"/>
  <c r="N114" i="63"/>
  <c r="N113" i="63"/>
  <c r="N112" i="63"/>
  <c r="N111" i="63"/>
  <c r="N110" i="63"/>
  <c r="P110" i="63" s="1"/>
  <c r="R110" i="63" s="1"/>
  <c r="N109" i="63"/>
  <c r="N108" i="63"/>
  <c r="N107" i="63"/>
  <c r="N106" i="63"/>
  <c r="N105" i="63"/>
  <c r="N104" i="63"/>
  <c r="N103" i="63"/>
  <c r="N102" i="63"/>
  <c r="N101" i="63"/>
  <c r="N100" i="63"/>
  <c r="N99" i="63"/>
  <c r="N98" i="63"/>
  <c r="N97" i="63"/>
  <c r="N96" i="63"/>
  <c r="N95" i="63"/>
  <c r="N94" i="63"/>
  <c r="N93" i="63"/>
  <c r="N92" i="63"/>
  <c r="N91" i="63"/>
  <c r="N90" i="63"/>
  <c r="N89" i="63"/>
  <c r="N88" i="63"/>
  <c r="N87" i="63"/>
  <c r="N86" i="63"/>
  <c r="N85" i="63"/>
  <c r="N84" i="63"/>
  <c r="N83" i="63"/>
  <c r="P83" i="63" s="1"/>
  <c r="R83" i="63" s="1"/>
  <c r="N82" i="63"/>
  <c r="N81" i="63"/>
  <c r="N80" i="63"/>
  <c r="N79" i="63"/>
  <c r="P79" i="63" s="1"/>
  <c r="R79" i="63" s="1"/>
  <c r="N78" i="63"/>
  <c r="P78" i="63" s="1"/>
  <c r="R78" i="63" s="1"/>
  <c r="N77" i="63"/>
  <c r="N76" i="63"/>
  <c r="N75" i="63"/>
  <c r="P75" i="63" s="1"/>
  <c r="R75" i="63" s="1"/>
  <c r="N74" i="63"/>
  <c r="N73" i="63"/>
  <c r="N72" i="63"/>
  <c r="N71" i="63"/>
  <c r="P71" i="63" s="1"/>
  <c r="R71" i="63" s="1"/>
  <c r="N70" i="63"/>
  <c r="N69" i="63"/>
  <c r="N68" i="63"/>
  <c r="N67" i="63"/>
  <c r="P67" i="63" s="1"/>
  <c r="R67" i="63" s="1"/>
  <c r="N66" i="63"/>
  <c r="N65" i="63"/>
  <c r="N64" i="63"/>
  <c r="N63" i="63"/>
  <c r="N62" i="63"/>
  <c r="N61" i="63"/>
  <c r="N60" i="63"/>
  <c r="N59" i="63"/>
  <c r="N58" i="63"/>
  <c r="N57" i="63"/>
  <c r="N56" i="63"/>
  <c r="N55" i="63"/>
  <c r="N54" i="63"/>
  <c r="N53" i="63"/>
  <c r="N52" i="63"/>
  <c r="P52" i="63" s="1"/>
  <c r="R52" i="63" s="1"/>
  <c r="N51" i="63"/>
  <c r="N50" i="63"/>
  <c r="N49" i="63"/>
  <c r="N48" i="63"/>
  <c r="P48" i="63" s="1"/>
  <c r="R48" i="63" s="1"/>
  <c r="N47" i="63"/>
  <c r="N46" i="63"/>
  <c r="N45" i="63"/>
  <c r="N44" i="63"/>
  <c r="P44" i="63" s="1"/>
  <c r="R44" i="63" s="1"/>
  <c r="N43" i="63"/>
  <c r="N42" i="63"/>
  <c r="N41" i="63"/>
  <c r="N40" i="63"/>
  <c r="N39" i="63"/>
  <c r="N38" i="63"/>
  <c r="N37" i="63"/>
  <c r="N36" i="63"/>
  <c r="N35" i="63"/>
  <c r="N34" i="63"/>
  <c r="N33" i="63"/>
  <c r="P33" i="63" s="1"/>
  <c r="R33" i="63" s="1"/>
  <c r="N32" i="63"/>
  <c r="N31" i="63"/>
  <c r="N30" i="63"/>
  <c r="P30" i="63" s="1"/>
  <c r="R30" i="63" s="1"/>
  <c r="N29" i="63"/>
  <c r="N28" i="63"/>
  <c r="N27" i="63"/>
  <c r="N26" i="63"/>
  <c r="P26" i="63" s="1"/>
  <c r="R26" i="63" s="1"/>
  <c r="N25" i="63"/>
  <c r="N24" i="63"/>
  <c r="N23" i="63"/>
  <c r="N22" i="63"/>
  <c r="I21" i="63"/>
  <c r="H21" i="63"/>
  <c r="G21" i="63"/>
  <c r="P120" i="63"/>
  <c r="R120" i="63" s="1"/>
  <c r="P119" i="63"/>
  <c r="R119" i="63" s="1"/>
  <c r="P117" i="63"/>
  <c r="R117" i="63" s="1"/>
  <c r="P116" i="63"/>
  <c r="R116" i="63" s="1"/>
  <c r="P115" i="63"/>
  <c r="R115" i="63" s="1"/>
  <c r="P114" i="63"/>
  <c r="R114" i="63" s="1"/>
  <c r="P113" i="63"/>
  <c r="R113" i="63" s="1"/>
  <c r="P112" i="63"/>
  <c r="R112" i="63" s="1"/>
  <c r="P111" i="63"/>
  <c r="R111" i="63" s="1"/>
  <c r="P109" i="63"/>
  <c r="R109" i="63" s="1"/>
  <c r="P108" i="63"/>
  <c r="R108" i="63" s="1"/>
  <c r="P107" i="63"/>
  <c r="R107" i="63" s="1"/>
  <c r="P106" i="63"/>
  <c r="R106" i="63" s="1"/>
  <c r="P105" i="63"/>
  <c r="R105" i="63" s="1"/>
  <c r="P104" i="63"/>
  <c r="R104" i="63" s="1"/>
  <c r="P103" i="63"/>
  <c r="R103" i="63" s="1"/>
  <c r="P102" i="63"/>
  <c r="R102" i="63" s="1"/>
  <c r="P101" i="63"/>
  <c r="R101" i="63" s="1"/>
  <c r="P100" i="63"/>
  <c r="R100" i="63" s="1"/>
  <c r="P99" i="63"/>
  <c r="R99" i="63" s="1"/>
  <c r="P98" i="63"/>
  <c r="R98" i="63" s="1"/>
  <c r="P97" i="63"/>
  <c r="R97" i="63" s="1"/>
  <c r="P96" i="63"/>
  <c r="R96" i="63" s="1"/>
  <c r="P95" i="63"/>
  <c r="R95" i="63" s="1"/>
  <c r="P93" i="63"/>
  <c r="R93" i="63" s="1"/>
  <c r="P92" i="63"/>
  <c r="R92" i="63" s="1"/>
  <c r="P90" i="63"/>
  <c r="R90" i="63" s="1"/>
  <c r="P89" i="63"/>
  <c r="R89" i="63" s="1"/>
  <c r="P88" i="63"/>
  <c r="R88" i="63" s="1"/>
  <c r="P87" i="63"/>
  <c r="R87" i="63" s="1"/>
  <c r="P86" i="63"/>
  <c r="R86" i="63" s="1"/>
  <c r="P85" i="63"/>
  <c r="R85" i="63" s="1"/>
  <c r="P84" i="63"/>
  <c r="R84" i="63" s="1"/>
  <c r="P82" i="63"/>
  <c r="R82" i="63" s="1"/>
  <c r="P81" i="63"/>
  <c r="R81" i="63" s="1"/>
  <c r="P80" i="63"/>
  <c r="R80" i="63" s="1"/>
  <c r="P77" i="63"/>
  <c r="R77" i="63" s="1"/>
  <c r="P76" i="63"/>
  <c r="R76" i="63" s="1"/>
  <c r="P74" i="63"/>
  <c r="R74" i="63" s="1"/>
  <c r="P73" i="63"/>
  <c r="R73" i="63" s="1"/>
  <c r="P72" i="63"/>
  <c r="R72" i="63" s="1"/>
  <c r="P70" i="63"/>
  <c r="R70" i="63" s="1"/>
  <c r="P69" i="63"/>
  <c r="R69" i="63" s="1"/>
  <c r="P68" i="63"/>
  <c r="R68" i="63" s="1"/>
  <c r="P66" i="63"/>
  <c r="R66" i="63" s="1"/>
  <c r="P65" i="63"/>
  <c r="R65" i="63" s="1"/>
  <c r="P64" i="63"/>
  <c r="R64" i="63" s="1"/>
  <c r="P63" i="63"/>
  <c r="R63" i="63" s="1"/>
  <c r="P61" i="63"/>
  <c r="R61" i="63" s="1"/>
  <c r="P60" i="63"/>
  <c r="R60" i="63" s="1"/>
  <c r="P59" i="63"/>
  <c r="R59" i="63" s="1"/>
  <c r="P58" i="63"/>
  <c r="R58" i="63" s="1"/>
  <c r="P57" i="63"/>
  <c r="R57" i="63" s="1"/>
  <c r="P56" i="63"/>
  <c r="R56" i="63" s="1"/>
  <c r="P55" i="63"/>
  <c r="R55" i="63" s="1"/>
  <c r="P54" i="63"/>
  <c r="R54" i="63" s="1"/>
  <c r="P53" i="63"/>
  <c r="R53" i="63" s="1"/>
  <c r="P51" i="63"/>
  <c r="R51" i="63" s="1"/>
  <c r="P50" i="63"/>
  <c r="R50" i="63" s="1"/>
  <c r="P49" i="63"/>
  <c r="R49" i="63" s="1"/>
  <c r="P47" i="63"/>
  <c r="R47" i="63" s="1"/>
  <c r="P45" i="63"/>
  <c r="R45" i="63" s="1"/>
  <c r="P43" i="63"/>
  <c r="R43" i="63" s="1"/>
  <c r="P42" i="63"/>
  <c r="R42" i="63" s="1"/>
  <c r="P41" i="63"/>
  <c r="R41" i="63" s="1"/>
  <c r="P39" i="63"/>
  <c r="R39" i="63" s="1"/>
  <c r="P38" i="63"/>
  <c r="R38" i="63" s="1"/>
  <c r="P37" i="63"/>
  <c r="R37" i="63" s="1"/>
  <c r="P36" i="63"/>
  <c r="R36" i="63" s="1"/>
  <c r="P35" i="63"/>
  <c r="R35" i="63" s="1"/>
  <c r="P34" i="63"/>
  <c r="R34" i="63" s="1"/>
  <c r="P32" i="63"/>
  <c r="R32" i="63" s="1"/>
  <c r="P31" i="63"/>
  <c r="R31" i="63" s="1"/>
  <c r="P29" i="63"/>
  <c r="R29" i="63" s="1"/>
  <c r="P28" i="63"/>
  <c r="R28" i="63" s="1"/>
  <c r="P27" i="63"/>
  <c r="R27" i="63" s="1"/>
  <c r="P24" i="63"/>
  <c r="R24" i="63" s="1"/>
  <c r="P23" i="63"/>
  <c r="R23" i="63" s="1"/>
  <c r="P22" i="63"/>
  <c r="U156" i="62"/>
  <c r="U155" i="62"/>
  <c r="U154" i="62"/>
  <c r="U153" i="62"/>
  <c r="U152" i="62"/>
  <c r="U151" i="62"/>
  <c r="U150" i="62"/>
  <c r="U149" i="62"/>
  <c r="U148" i="62"/>
  <c r="U147" i="62"/>
  <c r="U146" i="62"/>
  <c r="U145" i="62"/>
  <c r="U144" i="62"/>
  <c r="U143" i="62"/>
  <c r="U142" i="62"/>
  <c r="U141" i="62"/>
  <c r="U140" i="62"/>
  <c r="U139" i="62"/>
  <c r="U138" i="62"/>
  <c r="U137" i="62"/>
  <c r="U136" i="62"/>
  <c r="U135" i="62"/>
  <c r="U134" i="62"/>
  <c r="U133" i="62"/>
  <c r="U132" i="62"/>
  <c r="U131" i="62"/>
  <c r="U130" i="62"/>
  <c r="U129" i="62"/>
  <c r="U128" i="62"/>
  <c r="U127" i="62"/>
  <c r="U126" i="62"/>
  <c r="U125" i="62"/>
  <c r="U124" i="62"/>
  <c r="U123" i="62"/>
  <c r="U122" i="62"/>
  <c r="U121" i="62"/>
  <c r="U120" i="62"/>
  <c r="U119" i="62"/>
  <c r="U118" i="62"/>
  <c r="U117" i="62"/>
  <c r="U116" i="62"/>
  <c r="U115" i="62"/>
  <c r="U114" i="62"/>
  <c r="U113" i="62"/>
  <c r="U112" i="62"/>
  <c r="U111" i="62"/>
  <c r="U110" i="62"/>
  <c r="U109" i="62"/>
  <c r="U108" i="62"/>
  <c r="U107" i="62"/>
  <c r="U106" i="62"/>
  <c r="U105" i="62"/>
  <c r="U104" i="62"/>
  <c r="U103" i="62"/>
  <c r="U102" i="62"/>
  <c r="U101" i="62"/>
  <c r="U100" i="62"/>
  <c r="U99" i="62"/>
  <c r="U98" i="62"/>
  <c r="U97" i="62"/>
  <c r="U96" i="62"/>
  <c r="U95" i="62"/>
  <c r="U94" i="62"/>
  <c r="U93" i="62"/>
  <c r="U92" i="62"/>
  <c r="U91" i="62"/>
  <c r="U90" i="62"/>
  <c r="U89" i="62"/>
  <c r="U88" i="62"/>
  <c r="U87" i="62"/>
  <c r="U86" i="62"/>
  <c r="U85" i="62"/>
  <c r="U84" i="62"/>
  <c r="U83" i="62"/>
  <c r="U82" i="62"/>
  <c r="U81" i="62"/>
  <c r="U80" i="62"/>
  <c r="U79" i="62"/>
  <c r="U78" i="62"/>
  <c r="U77" i="62"/>
  <c r="U76" i="62"/>
  <c r="U75" i="62"/>
  <c r="U74" i="62"/>
  <c r="U73" i="62"/>
  <c r="U72" i="62"/>
  <c r="U71" i="62"/>
  <c r="U70" i="62"/>
  <c r="U69" i="62"/>
  <c r="U68" i="62"/>
  <c r="U67" i="62"/>
  <c r="U66" i="62"/>
  <c r="U65" i="62"/>
  <c r="U64" i="62"/>
  <c r="U63" i="62"/>
  <c r="U62" i="62"/>
  <c r="U61" i="62"/>
  <c r="U60" i="62"/>
  <c r="U59" i="62"/>
  <c r="U58" i="62"/>
  <c r="U57" i="62"/>
  <c r="U56" i="62"/>
  <c r="U55" i="62"/>
  <c r="U54" i="62"/>
  <c r="U53" i="62"/>
  <c r="U52" i="62"/>
  <c r="U51" i="62"/>
  <c r="U50" i="62"/>
  <c r="U49" i="62"/>
  <c r="U48" i="62"/>
  <c r="U47" i="62"/>
  <c r="U46" i="62"/>
  <c r="U45" i="62"/>
  <c r="U44" i="62"/>
  <c r="U43" i="62"/>
  <c r="U42" i="62"/>
  <c r="U41" i="62"/>
  <c r="U40" i="62"/>
  <c r="U39" i="62"/>
  <c r="U38" i="62"/>
  <c r="U37" i="62"/>
  <c r="U36" i="62"/>
  <c r="U35" i="62"/>
  <c r="U34" i="62"/>
  <c r="U33" i="62"/>
  <c r="U32" i="62"/>
  <c r="U31" i="62"/>
  <c r="U30" i="62"/>
  <c r="U29" i="62"/>
  <c r="U28" i="62"/>
  <c r="U27" i="62"/>
  <c r="U26" i="62"/>
  <c r="U25" i="62"/>
  <c r="U24" i="62"/>
  <c r="U23" i="62"/>
  <c r="U22" i="62"/>
  <c r="N156" i="62"/>
  <c r="P156" i="62" s="1"/>
  <c r="R156" i="62" s="1"/>
  <c r="N155" i="62"/>
  <c r="N154" i="62"/>
  <c r="N153" i="62"/>
  <c r="N152" i="62"/>
  <c r="P152" i="62" s="1"/>
  <c r="R152" i="62" s="1"/>
  <c r="N151" i="62"/>
  <c r="N150" i="62"/>
  <c r="N149" i="62"/>
  <c r="P149" i="62" s="1"/>
  <c r="R149" i="62" s="1"/>
  <c r="N148" i="62"/>
  <c r="P148" i="62" s="1"/>
  <c r="R148" i="62" s="1"/>
  <c r="N147" i="62"/>
  <c r="P147" i="62" s="1"/>
  <c r="R147" i="62" s="1"/>
  <c r="N146" i="62"/>
  <c r="P146" i="62" s="1"/>
  <c r="R146" i="62" s="1"/>
  <c r="N145" i="62"/>
  <c r="P145" i="62" s="1"/>
  <c r="R145" i="62" s="1"/>
  <c r="N144" i="62"/>
  <c r="N143" i="62"/>
  <c r="N142" i="62"/>
  <c r="P142" i="62" s="1"/>
  <c r="R142" i="62" s="1"/>
  <c r="N141" i="62"/>
  <c r="P141" i="62" s="1"/>
  <c r="R141" i="62" s="1"/>
  <c r="N140" i="62"/>
  <c r="N139" i="62"/>
  <c r="N138" i="62"/>
  <c r="N137" i="62"/>
  <c r="P137" i="62" s="1"/>
  <c r="R137" i="62" s="1"/>
  <c r="N136" i="62"/>
  <c r="P136" i="62" s="1"/>
  <c r="R136" i="62" s="1"/>
  <c r="N135" i="62"/>
  <c r="N134" i="62"/>
  <c r="N133" i="62"/>
  <c r="N132" i="62"/>
  <c r="P132" i="62" s="1"/>
  <c r="R132" i="62" s="1"/>
  <c r="N131" i="62"/>
  <c r="N130" i="62"/>
  <c r="N129" i="62"/>
  <c r="P129" i="62" s="1"/>
  <c r="R129" i="62" s="1"/>
  <c r="N128" i="62"/>
  <c r="N127" i="62"/>
  <c r="N126" i="62"/>
  <c r="N125" i="62"/>
  <c r="P125" i="62" s="1"/>
  <c r="R125" i="62" s="1"/>
  <c r="N124" i="62"/>
  <c r="N123" i="62"/>
  <c r="N122" i="62"/>
  <c r="N121" i="62"/>
  <c r="N120" i="62"/>
  <c r="N119" i="62"/>
  <c r="P119" i="62" s="1"/>
  <c r="R119" i="62" s="1"/>
  <c r="N118" i="62"/>
  <c r="N117" i="62"/>
  <c r="P117" i="62" s="1"/>
  <c r="R117" i="62" s="1"/>
  <c r="N116" i="62"/>
  <c r="P116" i="62" s="1"/>
  <c r="R116" i="62" s="1"/>
  <c r="N115" i="62"/>
  <c r="N114" i="62"/>
  <c r="P114" i="62" s="1"/>
  <c r="R114" i="62" s="1"/>
  <c r="N113" i="62"/>
  <c r="N112" i="62"/>
  <c r="N111" i="62"/>
  <c r="N110" i="62"/>
  <c r="P110" i="62" s="1"/>
  <c r="R110" i="62" s="1"/>
  <c r="N109" i="62"/>
  <c r="N108" i="62"/>
  <c r="P108" i="62" s="1"/>
  <c r="R108" i="62" s="1"/>
  <c r="N107" i="62"/>
  <c r="P107" i="62" s="1"/>
  <c r="R107" i="62" s="1"/>
  <c r="N106" i="62"/>
  <c r="N105" i="62"/>
  <c r="N104" i="62"/>
  <c r="P104" i="62" s="1"/>
  <c r="R104" i="62" s="1"/>
  <c r="N103" i="62"/>
  <c r="P103" i="62" s="1"/>
  <c r="R103" i="62" s="1"/>
  <c r="N102" i="62"/>
  <c r="N101" i="62"/>
  <c r="P101" i="62" s="1"/>
  <c r="R101" i="62" s="1"/>
  <c r="N100" i="62"/>
  <c r="P100" i="62" s="1"/>
  <c r="R100" i="62" s="1"/>
  <c r="N99" i="62"/>
  <c r="P99" i="62" s="1"/>
  <c r="R99" i="62" s="1"/>
  <c r="N98" i="62"/>
  <c r="N97" i="62"/>
  <c r="N96" i="62"/>
  <c r="N95" i="62"/>
  <c r="N94" i="62"/>
  <c r="P94" i="62" s="1"/>
  <c r="R94" i="62" s="1"/>
  <c r="N93" i="62"/>
  <c r="N92" i="62"/>
  <c r="N91" i="62"/>
  <c r="P91" i="62" s="1"/>
  <c r="R91" i="62" s="1"/>
  <c r="N90" i="62"/>
  <c r="N89" i="62"/>
  <c r="P89" i="62" s="1"/>
  <c r="R89" i="62" s="1"/>
  <c r="N88" i="62"/>
  <c r="N87" i="62"/>
  <c r="P87" i="62" s="1"/>
  <c r="R87" i="62" s="1"/>
  <c r="N86" i="62"/>
  <c r="P86" i="62" s="1"/>
  <c r="R86" i="62" s="1"/>
  <c r="N85" i="62"/>
  <c r="P85" i="62" s="1"/>
  <c r="R85" i="62" s="1"/>
  <c r="N84" i="62"/>
  <c r="P84" i="62" s="1"/>
  <c r="R84" i="62" s="1"/>
  <c r="N83" i="62"/>
  <c r="P83" i="62" s="1"/>
  <c r="R83" i="62" s="1"/>
  <c r="N82" i="62"/>
  <c r="P82" i="62" s="1"/>
  <c r="R82" i="62" s="1"/>
  <c r="N81" i="62"/>
  <c r="N80" i="62"/>
  <c r="P80" i="62" s="1"/>
  <c r="R80" i="62" s="1"/>
  <c r="N79" i="62"/>
  <c r="N78" i="62"/>
  <c r="P78" i="62" s="1"/>
  <c r="R78" i="62" s="1"/>
  <c r="N77" i="62"/>
  <c r="N76" i="62"/>
  <c r="P76" i="62" s="1"/>
  <c r="R76" i="62" s="1"/>
  <c r="N75" i="62"/>
  <c r="P75" i="62" s="1"/>
  <c r="R75" i="62" s="1"/>
  <c r="N74" i="62"/>
  <c r="N73" i="62"/>
  <c r="N72" i="62"/>
  <c r="N71" i="62"/>
  <c r="N70" i="62"/>
  <c r="N69" i="62"/>
  <c r="P69" i="62" s="1"/>
  <c r="R69" i="62" s="1"/>
  <c r="N68" i="62"/>
  <c r="P68" i="62" s="1"/>
  <c r="R68" i="62" s="1"/>
  <c r="N67" i="62"/>
  <c r="P67" i="62" s="1"/>
  <c r="R67" i="62" s="1"/>
  <c r="N66" i="62"/>
  <c r="N65" i="62"/>
  <c r="N64" i="62"/>
  <c r="P64" i="62" s="1"/>
  <c r="R64" i="62" s="1"/>
  <c r="N63" i="62"/>
  <c r="P63" i="62" s="1"/>
  <c r="R63" i="62" s="1"/>
  <c r="N62" i="62"/>
  <c r="P62" i="62" s="1"/>
  <c r="R62" i="62" s="1"/>
  <c r="N61" i="62"/>
  <c r="P61" i="62" s="1"/>
  <c r="R61" i="62" s="1"/>
  <c r="N60" i="62"/>
  <c r="P60" i="62" s="1"/>
  <c r="R60" i="62" s="1"/>
  <c r="N59" i="62"/>
  <c r="P59" i="62" s="1"/>
  <c r="R59" i="62" s="1"/>
  <c r="N58" i="62"/>
  <c r="N57" i="62"/>
  <c r="N56" i="62"/>
  <c r="N55" i="62"/>
  <c r="N54" i="62"/>
  <c r="N53" i="62"/>
  <c r="P53" i="62" s="1"/>
  <c r="R53" i="62" s="1"/>
  <c r="N52" i="62"/>
  <c r="P52" i="62" s="1"/>
  <c r="R52" i="62" s="1"/>
  <c r="N51" i="62"/>
  <c r="N50" i="62"/>
  <c r="N49" i="62"/>
  <c r="P49" i="62" s="1"/>
  <c r="R49" i="62" s="1"/>
  <c r="N48" i="62"/>
  <c r="N47" i="62"/>
  <c r="P47" i="62" s="1"/>
  <c r="R47" i="62" s="1"/>
  <c r="N46" i="62"/>
  <c r="P46" i="62" s="1"/>
  <c r="R46" i="62" s="1"/>
  <c r="N45" i="62"/>
  <c r="P45" i="62" s="1"/>
  <c r="R45" i="62" s="1"/>
  <c r="N44" i="62"/>
  <c r="P44" i="62" s="1"/>
  <c r="R44" i="62" s="1"/>
  <c r="N43" i="62"/>
  <c r="P43" i="62" s="1"/>
  <c r="R43" i="62" s="1"/>
  <c r="N42" i="62"/>
  <c r="N41" i="62"/>
  <c r="P41" i="62" s="1"/>
  <c r="R41" i="62" s="1"/>
  <c r="N40" i="62"/>
  <c r="N39" i="62"/>
  <c r="N38" i="62"/>
  <c r="N37" i="62"/>
  <c r="P37" i="62" s="1"/>
  <c r="R37" i="62" s="1"/>
  <c r="N36" i="62"/>
  <c r="P36" i="62" s="1"/>
  <c r="R36" i="62" s="1"/>
  <c r="N35" i="62"/>
  <c r="N34" i="62"/>
  <c r="N33" i="62"/>
  <c r="P33" i="62" s="1"/>
  <c r="R33" i="62" s="1"/>
  <c r="N32" i="62"/>
  <c r="N31" i="62"/>
  <c r="N30" i="62"/>
  <c r="P30" i="62" s="1"/>
  <c r="R30" i="62" s="1"/>
  <c r="N29" i="62"/>
  <c r="N28" i="62"/>
  <c r="P28" i="62" s="1"/>
  <c r="R28" i="62" s="1"/>
  <c r="N27" i="62"/>
  <c r="P27" i="62" s="1"/>
  <c r="R27" i="62" s="1"/>
  <c r="N26" i="62"/>
  <c r="N25" i="62"/>
  <c r="P25" i="62" s="1"/>
  <c r="R25" i="62" s="1"/>
  <c r="N24" i="62"/>
  <c r="N23" i="62"/>
  <c r="P23" i="62" s="1"/>
  <c r="R23" i="62" s="1"/>
  <c r="N22" i="62"/>
  <c r="P22" i="62" s="1"/>
  <c r="R22" i="62" s="1"/>
  <c r="I21" i="62"/>
  <c r="H21" i="62"/>
  <c r="G21" i="62"/>
  <c r="P155" i="62"/>
  <c r="R155" i="62" s="1"/>
  <c r="P154" i="62"/>
  <c r="R154" i="62" s="1"/>
  <c r="P151" i="62"/>
  <c r="R151" i="62" s="1"/>
  <c r="P150" i="62"/>
  <c r="R150" i="62" s="1"/>
  <c r="P144" i="62"/>
  <c r="R144" i="62" s="1"/>
  <c r="P143" i="62"/>
  <c r="R143" i="62" s="1"/>
  <c r="P140" i="62"/>
  <c r="R140" i="62" s="1"/>
  <c r="P139" i="62"/>
  <c r="R139" i="62" s="1"/>
  <c r="P138" i="62"/>
  <c r="R138" i="62" s="1"/>
  <c r="P135" i="62"/>
  <c r="R135" i="62" s="1"/>
  <c r="P134" i="62"/>
  <c r="R134" i="62" s="1"/>
  <c r="P133" i="62"/>
  <c r="R133" i="62" s="1"/>
  <c r="P128" i="62"/>
  <c r="R128" i="62" s="1"/>
  <c r="P127" i="62"/>
  <c r="R127" i="62" s="1"/>
  <c r="P126" i="62"/>
  <c r="R126" i="62" s="1"/>
  <c r="P124" i="62"/>
  <c r="R124" i="62" s="1"/>
  <c r="P123" i="62"/>
  <c r="R123" i="62" s="1"/>
  <c r="P122" i="62"/>
  <c r="R122" i="62" s="1"/>
  <c r="P120" i="62"/>
  <c r="R120" i="62" s="1"/>
  <c r="P118" i="62"/>
  <c r="R118" i="62" s="1"/>
  <c r="P112" i="62"/>
  <c r="R112" i="62" s="1"/>
  <c r="P111" i="62"/>
  <c r="R111" i="62" s="1"/>
  <c r="P106" i="62"/>
  <c r="R106" i="62" s="1"/>
  <c r="P102" i="62"/>
  <c r="R102" i="62" s="1"/>
  <c r="P96" i="62"/>
  <c r="R96" i="62" s="1"/>
  <c r="P95" i="62"/>
  <c r="R95" i="62" s="1"/>
  <c r="P93" i="62"/>
  <c r="R93" i="62" s="1"/>
  <c r="P92" i="62"/>
  <c r="R92" i="62" s="1"/>
  <c r="P90" i="62"/>
  <c r="R90" i="62" s="1"/>
  <c r="P88" i="62"/>
  <c r="R88" i="62" s="1"/>
  <c r="P79" i="62"/>
  <c r="R79" i="62" s="1"/>
  <c r="P77" i="62"/>
  <c r="R77" i="62" s="1"/>
  <c r="P74" i="62"/>
  <c r="R74" i="62" s="1"/>
  <c r="P72" i="62"/>
  <c r="R72" i="62" s="1"/>
  <c r="P71" i="62"/>
  <c r="R71" i="62" s="1"/>
  <c r="P70" i="62"/>
  <c r="R70" i="62" s="1"/>
  <c r="P58" i="62"/>
  <c r="R58" i="62" s="1"/>
  <c r="P57" i="62"/>
  <c r="R57" i="62" s="1"/>
  <c r="P56" i="62"/>
  <c r="R56" i="62" s="1"/>
  <c r="P55" i="62"/>
  <c r="R55" i="62" s="1"/>
  <c r="P54" i="62"/>
  <c r="R54" i="62" s="1"/>
  <c r="P42" i="62"/>
  <c r="R42" i="62" s="1"/>
  <c r="P40" i="62"/>
  <c r="R40" i="62" s="1"/>
  <c r="P39" i="62"/>
  <c r="R39" i="62" s="1"/>
  <c r="P38" i="62"/>
  <c r="R38" i="62" s="1"/>
  <c r="P32" i="62"/>
  <c r="R32" i="62" s="1"/>
  <c r="P31" i="62"/>
  <c r="R31" i="62" s="1"/>
  <c r="P29" i="62"/>
  <c r="R29" i="62" s="1"/>
  <c r="P26" i="62"/>
  <c r="R26" i="62" s="1"/>
  <c r="L22" i="69"/>
  <c r="M22" i="69" s="1"/>
  <c r="L23" i="69"/>
  <c r="M23" i="69" s="1"/>
  <c r="T23" i="69" s="1"/>
  <c r="L24" i="69"/>
  <c r="M24" i="69" s="1"/>
  <c r="L25" i="69"/>
  <c r="M25" i="69" s="1"/>
  <c r="T25" i="69" s="1"/>
  <c r="L26" i="69"/>
  <c r="M26" i="69" s="1"/>
  <c r="L27" i="69"/>
  <c r="M27" i="69" s="1"/>
  <c r="L28" i="69"/>
  <c r="M28" i="69" s="1"/>
  <c r="T28" i="69" s="1"/>
  <c r="L29" i="69"/>
  <c r="M29" i="69" s="1"/>
  <c r="L30" i="69"/>
  <c r="M30" i="69" s="1"/>
  <c r="T30" i="69" s="1"/>
  <c r="L31" i="69"/>
  <c r="M31" i="69" s="1"/>
  <c r="L32" i="69"/>
  <c r="M32" i="69" s="1"/>
  <c r="L33" i="69"/>
  <c r="M33" i="69" s="1"/>
  <c r="L34" i="69"/>
  <c r="M34" i="69" s="1"/>
  <c r="T34" i="69" l="1"/>
  <c r="T26" i="69"/>
  <c r="T32" i="69"/>
  <c r="M21" i="69"/>
  <c r="L21" i="69"/>
  <c r="P48" i="67"/>
  <c r="R48" i="67" s="1"/>
  <c r="P91" i="67"/>
  <c r="R91" i="67" s="1"/>
  <c r="P27" i="66"/>
  <c r="R27" i="66" s="1"/>
  <c r="X100" i="65"/>
  <c r="X43" i="65"/>
  <c r="X96" i="65"/>
  <c r="X57" i="65"/>
  <c r="X98" i="65"/>
  <c r="X88" i="65"/>
  <c r="X49" i="65"/>
  <c r="X72" i="65"/>
  <c r="X24" i="65"/>
  <c r="X34" i="65"/>
  <c r="X41" i="65"/>
  <c r="X53" i="65"/>
  <c r="X32" i="65"/>
  <c r="X58" i="65"/>
  <c r="X40" i="65"/>
  <c r="X90" i="65"/>
  <c r="P27" i="65"/>
  <c r="X76" i="65"/>
  <c r="X37" i="65"/>
  <c r="X63" i="65"/>
  <c r="X78" i="65"/>
  <c r="X94" i="65"/>
  <c r="X38" i="65"/>
  <c r="X101" i="65"/>
  <c r="X74" i="65"/>
  <c r="V50" i="65"/>
  <c r="W50" i="65" s="1"/>
  <c r="X31" i="65"/>
  <c r="X69" i="65"/>
  <c r="W71" i="65"/>
  <c r="X26" i="65"/>
  <c r="X62" i="65"/>
  <c r="X52" i="65"/>
  <c r="V35" i="65"/>
  <c r="W35" i="65" s="1"/>
  <c r="X45" i="65"/>
  <c r="X103" i="65"/>
  <c r="W82" i="65"/>
  <c r="X81" i="65"/>
  <c r="X70" i="65"/>
  <c r="X22" i="65"/>
  <c r="X60" i="65"/>
  <c r="X64" i="65"/>
  <c r="X79" i="65"/>
  <c r="X92" i="65"/>
  <c r="X28" i="65"/>
  <c r="X50" i="65"/>
  <c r="P129" i="64"/>
  <c r="X51" i="64"/>
  <c r="X49" i="64"/>
  <c r="X66" i="64"/>
  <c r="X39" i="64"/>
  <c r="X88" i="64"/>
  <c r="X25" i="64"/>
  <c r="X52" i="64"/>
  <c r="X78" i="64"/>
  <c r="X90" i="64"/>
  <c r="X105" i="64"/>
  <c r="X54" i="64"/>
  <c r="X70" i="64"/>
  <c r="P89" i="64"/>
  <c r="P77" i="64"/>
  <c r="X65" i="64"/>
  <c r="X42" i="64"/>
  <c r="X53" i="64"/>
  <c r="X79" i="64"/>
  <c r="X91" i="64"/>
  <c r="X31" i="64"/>
  <c r="P26" i="64"/>
  <c r="P27" i="64"/>
  <c r="X76" i="64"/>
  <c r="X29" i="64"/>
  <c r="X43" i="64"/>
  <c r="X56" i="64"/>
  <c r="X94" i="64"/>
  <c r="X72" i="64"/>
  <c r="X74" i="64"/>
  <c r="X128" i="64"/>
  <c r="X121" i="64"/>
  <c r="X23" i="64"/>
  <c r="X38" i="64"/>
  <c r="P41" i="64"/>
  <c r="P123" i="64"/>
  <c r="X115" i="64"/>
  <c r="X119" i="64"/>
  <c r="V118" i="64"/>
  <c r="W118" i="64" s="1"/>
  <c r="X118" i="64" s="1"/>
  <c r="X81" i="64"/>
  <c r="X96" i="64"/>
  <c r="X83" i="64"/>
  <c r="X84" i="64"/>
  <c r="P45" i="64"/>
  <c r="X68" i="64"/>
  <c r="X87" i="64"/>
  <c r="X36" i="64"/>
  <c r="X58" i="64"/>
  <c r="X24" i="64"/>
  <c r="X130" i="64"/>
  <c r="P104" i="64"/>
  <c r="X35" i="64"/>
  <c r="P116" i="64"/>
  <c r="X62" i="64"/>
  <c r="P75" i="64"/>
  <c r="P97" i="64"/>
  <c r="X124" i="64"/>
  <c r="X47" i="64"/>
  <c r="V106" i="64"/>
  <c r="W106" i="64" s="1"/>
  <c r="X106" i="64" s="1"/>
  <c r="P125" i="64"/>
  <c r="P99" i="64"/>
  <c r="P32" i="64"/>
  <c r="X100" i="64"/>
  <c r="X59" i="64"/>
  <c r="P82" i="64"/>
  <c r="X111" i="64"/>
  <c r="X92" i="64"/>
  <c r="V109" i="64"/>
  <c r="W109" i="64" s="1"/>
  <c r="X113" i="64"/>
  <c r="V110" i="64"/>
  <c r="W110" i="64" s="1"/>
  <c r="X110" i="64" s="1"/>
  <c r="X101" i="64"/>
  <c r="X114" i="64"/>
  <c r="X37" i="64"/>
  <c r="X64" i="64"/>
  <c r="X86" i="64"/>
  <c r="X102" i="64"/>
  <c r="X61" i="64"/>
  <c r="X85" i="64"/>
  <c r="X34" i="64"/>
  <c r="X126" i="64"/>
  <c r="E6" i="3"/>
  <c r="E7" i="3"/>
  <c r="P74" i="67"/>
  <c r="R74" i="67" s="1"/>
  <c r="P62" i="67"/>
  <c r="R62" i="67" s="1"/>
  <c r="P90" i="67"/>
  <c r="R90" i="67" s="1"/>
  <c r="P61" i="67"/>
  <c r="R61" i="67" s="1"/>
  <c r="P59" i="67"/>
  <c r="R59" i="67" s="1"/>
  <c r="P45" i="67"/>
  <c r="R45" i="67" s="1"/>
  <c r="P87" i="67"/>
  <c r="R87" i="67" s="1"/>
  <c r="P71" i="67"/>
  <c r="R71" i="67" s="1"/>
  <c r="P34" i="67"/>
  <c r="R34" i="67" s="1"/>
  <c r="P89" i="67"/>
  <c r="R89" i="67" s="1"/>
  <c r="P22" i="67"/>
  <c r="R22" i="67" s="1"/>
  <c r="P47" i="67"/>
  <c r="R47" i="67" s="1"/>
  <c r="P88" i="67"/>
  <c r="R88" i="67" s="1"/>
  <c r="P32" i="67"/>
  <c r="R32" i="67" s="1"/>
  <c r="P102" i="67"/>
  <c r="R102" i="67" s="1"/>
  <c r="P60" i="67"/>
  <c r="R60" i="67" s="1"/>
  <c r="P72" i="67"/>
  <c r="R72" i="67" s="1"/>
  <c r="P24" i="67"/>
  <c r="R24" i="67" s="1"/>
  <c r="P73" i="67"/>
  <c r="R73" i="67" s="1"/>
  <c r="P86" i="67"/>
  <c r="R86" i="67" s="1"/>
  <c r="P46" i="67"/>
  <c r="R46" i="67" s="1"/>
  <c r="P35" i="67"/>
  <c r="R35" i="67" s="1"/>
  <c r="W80" i="65"/>
  <c r="X80" i="65" s="1"/>
  <c r="W55" i="65"/>
  <c r="X55" i="65" s="1"/>
  <c r="W83" i="65"/>
  <c r="X83" i="65" s="1"/>
  <c r="X25" i="65"/>
  <c r="X35" i="65"/>
  <c r="X61" i="65"/>
  <c r="X73" i="65"/>
  <c r="X89" i="65"/>
  <c r="W102" i="65"/>
  <c r="W47" i="65"/>
  <c r="X47" i="65" s="1"/>
  <c r="X39" i="65"/>
  <c r="X85" i="65"/>
  <c r="X51" i="65"/>
  <c r="P46" i="65"/>
  <c r="X66" i="65"/>
  <c r="P77" i="65"/>
  <c r="X87" i="65"/>
  <c r="P95" i="65"/>
  <c r="P29" i="65"/>
  <c r="P71" i="65"/>
  <c r="X46" i="65"/>
  <c r="X95" i="65"/>
  <c r="X29" i="65"/>
  <c r="P65" i="65"/>
  <c r="X71" i="65"/>
  <c r="P33" i="65"/>
  <c r="P59" i="65"/>
  <c r="P102" i="65"/>
  <c r="X23" i="65"/>
  <c r="X33" i="65"/>
  <c r="X59" i="65"/>
  <c r="P93" i="65"/>
  <c r="X102" i="65"/>
  <c r="P79" i="65"/>
  <c r="P97" i="65"/>
  <c r="X67" i="65"/>
  <c r="P73" i="65"/>
  <c r="P82" i="65"/>
  <c r="P89" i="65"/>
  <c r="P54" i="65"/>
  <c r="P30" i="65"/>
  <c r="P42" i="65"/>
  <c r="P35" i="65"/>
  <c r="X42" i="65"/>
  <c r="P47" i="65"/>
  <c r="P44" i="65"/>
  <c r="P84" i="65"/>
  <c r="P99" i="65"/>
  <c r="X44" i="65"/>
  <c r="X84" i="65"/>
  <c r="P56" i="65"/>
  <c r="X99" i="65"/>
  <c r="X56" i="65"/>
  <c r="P62" i="63"/>
  <c r="R62" i="63" s="1"/>
  <c r="P46" i="63"/>
  <c r="R46" i="63" s="1"/>
  <c r="P94" i="63"/>
  <c r="R94" i="63" s="1"/>
  <c r="P32" i="66"/>
  <c r="R32" i="66" s="1"/>
  <c r="P33" i="66"/>
  <c r="R33" i="66" s="1"/>
  <c r="P25" i="66"/>
  <c r="R25" i="66" s="1"/>
  <c r="P26" i="66"/>
  <c r="R26" i="66" s="1"/>
  <c r="X103" i="64"/>
  <c r="V22" i="64"/>
  <c r="W22" i="64" s="1"/>
  <c r="X22" i="64" s="1"/>
  <c r="X73" i="64"/>
  <c r="W69" i="64"/>
  <c r="X40" i="64"/>
  <c r="X67" i="64"/>
  <c r="X69" i="64"/>
  <c r="P95" i="64"/>
  <c r="P109" i="64"/>
  <c r="P122" i="64"/>
  <c r="P30" i="64"/>
  <c r="X122" i="64"/>
  <c r="X109" i="64"/>
  <c r="P57" i="64"/>
  <c r="X57" i="64"/>
  <c r="P44" i="64"/>
  <c r="P73" i="64"/>
  <c r="X44" i="64"/>
  <c r="X71" i="64"/>
  <c r="P93" i="64"/>
  <c r="P107" i="64"/>
  <c r="X55" i="64"/>
  <c r="X80" i="64"/>
  <c r="X93" i="64"/>
  <c r="X107" i="64"/>
  <c r="P120" i="64"/>
  <c r="X120" i="64"/>
  <c r="P28" i="64"/>
  <c r="X28" i="64"/>
  <c r="P73" i="62"/>
  <c r="R73" i="62" s="1"/>
  <c r="P105" i="62"/>
  <c r="R105" i="62" s="1"/>
  <c r="P153" i="62"/>
  <c r="R153" i="62" s="1"/>
  <c r="P121" i="62"/>
  <c r="R121" i="62" s="1"/>
  <c r="P98" i="62"/>
  <c r="R98" i="62" s="1"/>
  <c r="P115" i="62"/>
  <c r="R115" i="62" s="1"/>
  <c r="P34" i="62"/>
  <c r="R34" i="62" s="1"/>
  <c r="P50" i="62"/>
  <c r="R50" i="62" s="1"/>
  <c r="P130" i="62"/>
  <c r="R130" i="62" s="1"/>
  <c r="P35" i="62"/>
  <c r="R35" i="62" s="1"/>
  <c r="P51" i="62"/>
  <c r="R51" i="62" s="1"/>
  <c r="P66" i="62"/>
  <c r="R66" i="62" s="1"/>
  <c r="P131" i="62"/>
  <c r="R131" i="62" s="1"/>
  <c r="P97" i="62"/>
  <c r="R97" i="62" s="1"/>
  <c r="P113" i="62"/>
  <c r="R113" i="62" s="1"/>
  <c r="P65" i="62"/>
  <c r="R65" i="62" s="1"/>
  <c r="P81" i="62"/>
  <c r="R81" i="62" s="1"/>
  <c r="P21" i="69"/>
  <c r="T33" i="69"/>
  <c r="T31" i="69"/>
  <c r="T29" i="69"/>
  <c r="T27" i="69"/>
  <c r="T24" i="69"/>
  <c r="T22" i="69"/>
  <c r="P21" i="68"/>
  <c r="P57" i="67"/>
  <c r="R57" i="67" s="1"/>
  <c r="P24" i="66"/>
  <c r="R24" i="66" s="1"/>
  <c r="V86" i="65"/>
  <c r="W86" i="65" s="1"/>
  <c r="X86" i="65" s="1"/>
  <c r="V77" i="65"/>
  <c r="W77" i="65" s="1"/>
  <c r="X77" i="65" s="1"/>
  <c r="V68" i="65"/>
  <c r="W68" i="65" s="1"/>
  <c r="X68" i="65" s="1"/>
  <c r="V65" i="65"/>
  <c r="W65" i="65" s="1"/>
  <c r="X65" i="65" s="1"/>
  <c r="V48" i="65"/>
  <c r="W48" i="65" s="1"/>
  <c r="X48" i="65" s="1"/>
  <c r="V36" i="65"/>
  <c r="W36" i="65" s="1"/>
  <c r="X36" i="65" s="1"/>
  <c r="X97" i="65"/>
  <c r="P91" i="65"/>
  <c r="X91" i="65"/>
  <c r="X82" i="65"/>
  <c r="X75" i="65"/>
  <c r="X54" i="65"/>
  <c r="X30" i="65"/>
  <c r="V127" i="64"/>
  <c r="W127" i="64" s="1"/>
  <c r="X127" i="64" s="1"/>
  <c r="V117" i="64"/>
  <c r="W117" i="64" s="1"/>
  <c r="X117" i="64" s="1"/>
  <c r="V108" i="64"/>
  <c r="W108" i="64" s="1"/>
  <c r="X108" i="64" s="1"/>
  <c r="V63" i="64"/>
  <c r="W63" i="64" s="1"/>
  <c r="X63" i="64" s="1"/>
  <c r="V57" i="64"/>
  <c r="W57" i="64" s="1"/>
  <c r="V50" i="64"/>
  <c r="W50" i="64" s="1"/>
  <c r="X50" i="64" s="1"/>
  <c r="W30" i="64"/>
  <c r="X30" i="64" s="1"/>
  <c r="X131" i="64"/>
  <c r="X112" i="64"/>
  <c r="X98" i="64"/>
  <c r="X60" i="64"/>
  <c r="X48" i="64"/>
  <c r="X46" i="64"/>
  <c r="X33" i="64"/>
  <c r="P91" i="63"/>
  <c r="R91" i="63" s="1"/>
  <c r="P40" i="63"/>
  <c r="R40" i="63" s="1"/>
  <c r="P25" i="63"/>
  <c r="R25" i="63" s="1"/>
  <c r="R22" i="63"/>
  <c r="P109" i="62"/>
  <c r="R109" i="62" s="1"/>
  <c r="P48" i="62"/>
  <c r="R48" i="62" s="1"/>
  <c r="P24" i="62"/>
  <c r="R24" i="62" s="1"/>
  <c r="B13" i="69"/>
  <c r="B4" i="69"/>
  <c r="N2" i="69"/>
  <c r="K31" i="46"/>
  <c r="K22" i="46"/>
  <c r="K21" i="46"/>
  <c r="K20" i="46"/>
  <c r="K19" i="46"/>
  <c r="K18" i="46"/>
  <c r="L96" i="67"/>
  <c r="M96" i="67" s="1"/>
  <c r="V96" i="67" s="1"/>
  <c r="L95" i="67"/>
  <c r="M95" i="67" s="1"/>
  <c r="V95" i="67" s="1"/>
  <c r="L94" i="67"/>
  <c r="M94" i="67" s="1"/>
  <c r="V94" i="67" s="1"/>
  <c r="L80" i="67"/>
  <c r="M80" i="67" s="1"/>
  <c r="V80" i="67" s="1"/>
  <c r="L47" i="67"/>
  <c r="M47" i="67" s="1"/>
  <c r="V47" i="67" s="1"/>
  <c r="L43" i="67"/>
  <c r="M43" i="67" s="1"/>
  <c r="V43" i="67" s="1"/>
  <c r="L38" i="67"/>
  <c r="M38" i="67" s="1"/>
  <c r="V38" i="67" s="1"/>
  <c r="L35" i="67"/>
  <c r="M35" i="67" s="1"/>
  <c r="V35" i="67" s="1"/>
  <c r="L34" i="67"/>
  <c r="M34" i="67" s="1"/>
  <c r="V34" i="67" s="1"/>
  <c r="L28" i="67"/>
  <c r="M28" i="67" s="1"/>
  <c r="V28" i="67" s="1"/>
  <c r="L25" i="67"/>
  <c r="M25" i="67" s="1"/>
  <c r="V25" i="67" s="1"/>
  <c r="L24" i="67"/>
  <c r="M24" i="67" s="1"/>
  <c r="V24" i="67" s="1"/>
  <c r="G6" i="22"/>
  <c r="H6" i="22" s="1"/>
  <c r="M6" i="22" s="1"/>
  <c r="G5" i="22"/>
  <c r="H5" i="22" s="1"/>
  <c r="M5" i="22" s="1"/>
  <c r="L103" i="65"/>
  <c r="M103" i="65" s="1"/>
  <c r="L102" i="65"/>
  <c r="M102" i="65" s="1"/>
  <c r="L101" i="65"/>
  <c r="M101" i="65" s="1"/>
  <c r="L100" i="65"/>
  <c r="M100" i="65" s="1"/>
  <c r="L99" i="65"/>
  <c r="M99" i="65" s="1"/>
  <c r="L98" i="65"/>
  <c r="M98" i="65" s="1"/>
  <c r="L97" i="65"/>
  <c r="M97" i="65" s="1"/>
  <c r="L96" i="65"/>
  <c r="M96" i="65" s="1"/>
  <c r="L95" i="65"/>
  <c r="M95" i="65" s="1"/>
  <c r="L94" i="65"/>
  <c r="M94" i="65" s="1"/>
  <c r="L93" i="65"/>
  <c r="M93" i="65" s="1"/>
  <c r="L92" i="65"/>
  <c r="M92" i="65" s="1"/>
  <c r="L91" i="65"/>
  <c r="M91" i="65" s="1"/>
  <c r="L90" i="65"/>
  <c r="M90" i="65" s="1"/>
  <c r="L89" i="65"/>
  <c r="M89" i="65" s="1"/>
  <c r="L88" i="65"/>
  <c r="M88" i="65" s="1"/>
  <c r="L87" i="65"/>
  <c r="M87" i="65" s="1"/>
  <c r="L86" i="65"/>
  <c r="M86" i="65" s="1"/>
  <c r="L85" i="65"/>
  <c r="M85" i="65" s="1"/>
  <c r="L84" i="65"/>
  <c r="M84" i="65" s="1"/>
  <c r="L83" i="65"/>
  <c r="M83" i="65" s="1"/>
  <c r="L82" i="65"/>
  <c r="M82" i="65" s="1"/>
  <c r="L81" i="65"/>
  <c r="M81" i="65" s="1"/>
  <c r="L80" i="65"/>
  <c r="M80" i="65" s="1"/>
  <c r="L79" i="65"/>
  <c r="M79" i="65" s="1"/>
  <c r="L78" i="65"/>
  <c r="M78" i="65" s="1"/>
  <c r="L77" i="65"/>
  <c r="M77" i="65" s="1"/>
  <c r="L76" i="65"/>
  <c r="M76" i="65" s="1"/>
  <c r="L75" i="65"/>
  <c r="M75" i="65" s="1"/>
  <c r="L74" i="65"/>
  <c r="M74" i="65" s="1"/>
  <c r="L73" i="65"/>
  <c r="M73" i="65" s="1"/>
  <c r="L72" i="65"/>
  <c r="M72" i="65" s="1"/>
  <c r="L71" i="65"/>
  <c r="M71" i="65" s="1"/>
  <c r="L70" i="65"/>
  <c r="M70" i="65" s="1"/>
  <c r="L69" i="65"/>
  <c r="M69" i="65" s="1"/>
  <c r="L68" i="65"/>
  <c r="M68" i="65" s="1"/>
  <c r="L67" i="65"/>
  <c r="M67" i="65" s="1"/>
  <c r="L66" i="65"/>
  <c r="M66" i="65" s="1"/>
  <c r="L65" i="65"/>
  <c r="M65" i="65" s="1"/>
  <c r="L64" i="65"/>
  <c r="M64" i="65" s="1"/>
  <c r="L63" i="65"/>
  <c r="M63" i="65" s="1"/>
  <c r="L62" i="65"/>
  <c r="M62" i="65" s="1"/>
  <c r="L61" i="65"/>
  <c r="M61" i="65" s="1"/>
  <c r="L60" i="65"/>
  <c r="M60" i="65" s="1"/>
  <c r="L59" i="65"/>
  <c r="M59" i="65" s="1"/>
  <c r="L58" i="65"/>
  <c r="M58" i="65" s="1"/>
  <c r="L57" i="65"/>
  <c r="M57" i="65" s="1"/>
  <c r="L56" i="65"/>
  <c r="M56" i="65" s="1"/>
  <c r="L55" i="65"/>
  <c r="M55" i="65" s="1"/>
  <c r="L54" i="65"/>
  <c r="M54" i="65" s="1"/>
  <c r="L53" i="65"/>
  <c r="M53" i="65" s="1"/>
  <c r="L52" i="65"/>
  <c r="M52" i="65" s="1"/>
  <c r="L51" i="65"/>
  <c r="M51" i="65" s="1"/>
  <c r="L50" i="65"/>
  <c r="M50" i="65" s="1"/>
  <c r="L49" i="65"/>
  <c r="M49" i="65" s="1"/>
  <c r="L48" i="65"/>
  <c r="M48" i="65" s="1"/>
  <c r="L47" i="65"/>
  <c r="M47" i="65" s="1"/>
  <c r="L46" i="65"/>
  <c r="M46" i="65" s="1"/>
  <c r="L45" i="65"/>
  <c r="M45" i="65" s="1"/>
  <c r="L44" i="65"/>
  <c r="M44" i="65" s="1"/>
  <c r="L43" i="65"/>
  <c r="M43" i="65" s="1"/>
  <c r="L42" i="65"/>
  <c r="M42" i="65" s="1"/>
  <c r="L41" i="65"/>
  <c r="M41" i="65" s="1"/>
  <c r="L40" i="65"/>
  <c r="M40" i="65" s="1"/>
  <c r="L39" i="65"/>
  <c r="M39" i="65" s="1"/>
  <c r="L38" i="65"/>
  <c r="M38" i="65" s="1"/>
  <c r="L37" i="65"/>
  <c r="M37" i="65" s="1"/>
  <c r="L36" i="65"/>
  <c r="M36" i="65" s="1"/>
  <c r="L35" i="65"/>
  <c r="M35" i="65" s="1"/>
  <c r="L34" i="65"/>
  <c r="M34" i="65" s="1"/>
  <c r="L33" i="65"/>
  <c r="M33" i="65" s="1"/>
  <c r="L32" i="65"/>
  <c r="M32" i="65" s="1"/>
  <c r="L31" i="65"/>
  <c r="M31" i="65" s="1"/>
  <c r="L30" i="65"/>
  <c r="M30" i="65" s="1"/>
  <c r="L29" i="65"/>
  <c r="M29" i="65" s="1"/>
  <c r="L28" i="65"/>
  <c r="M28" i="65" s="1"/>
  <c r="L27" i="65"/>
  <c r="M27" i="65" s="1"/>
  <c r="L26" i="65"/>
  <c r="M26" i="65" s="1"/>
  <c r="L25" i="65"/>
  <c r="M25" i="65" s="1"/>
  <c r="L24" i="65"/>
  <c r="M24" i="65" s="1"/>
  <c r="L23" i="65"/>
  <c r="M23" i="65" s="1"/>
  <c r="L22" i="65"/>
  <c r="L131" i="64"/>
  <c r="M131" i="64" s="1"/>
  <c r="L130" i="64"/>
  <c r="M130" i="64" s="1"/>
  <c r="L129" i="64"/>
  <c r="M129" i="64" s="1"/>
  <c r="L128" i="64"/>
  <c r="M128" i="64" s="1"/>
  <c r="L127" i="64"/>
  <c r="M127" i="64" s="1"/>
  <c r="L126" i="64"/>
  <c r="M126" i="64" s="1"/>
  <c r="L125" i="64"/>
  <c r="M125" i="64" s="1"/>
  <c r="L124" i="64"/>
  <c r="M124" i="64" s="1"/>
  <c r="L123" i="64"/>
  <c r="M123" i="64" s="1"/>
  <c r="L122" i="64"/>
  <c r="M122" i="64" s="1"/>
  <c r="L121" i="64"/>
  <c r="M121" i="64" s="1"/>
  <c r="L120" i="64"/>
  <c r="M120" i="64" s="1"/>
  <c r="L119" i="64"/>
  <c r="M119" i="64" s="1"/>
  <c r="L118" i="64"/>
  <c r="M118" i="64" s="1"/>
  <c r="L117" i="64"/>
  <c r="M117" i="64" s="1"/>
  <c r="L116" i="64"/>
  <c r="M116" i="64" s="1"/>
  <c r="L115" i="64"/>
  <c r="M115" i="64" s="1"/>
  <c r="L114" i="64"/>
  <c r="M114" i="64" s="1"/>
  <c r="L113" i="64"/>
  <c r="M113" i="64" s="1"/>
  <c r="L112" i="64"/>
  <c r="M112" i="64" s="1"/>
  <c r="L111" i="64"/>
  <c r="M111" i="64" s="1"/>
  <c r="L110" i="64"/>
  <c r="M110" i="64" s="1"/>
  <c r="L109" i="64"/>
  <c r="M109" i="64" s="1"/>
  <c r="L108" i="64"/>
  <c r="M108" i="64" s="1"/>
  <c r="L107" i="64"/>
  <c r="M107" i="64" s="1"/>
  <c r="L106" i="64"/>
  <c r="M106" i="64" s="1"/>
  <c r="L105" i="64"/>
  <c r="M105" i="64" s="1"/>
  <c r="L104" i="64"/>
  <c r="M104" i="64" s="1"/>
  <c r="L103" i="64"/>
  <c r="M103" i="64" s="1"/>
  <c r="L102" i="64"/>
  <c r="M102" i="64" s="1"/>
  <c r="L101" i="64"/>
  <c r="M101" i="64" s="1"/>
  <c r="L100" i="64"/>
  <c r="M100" i="64" s="1"/>
  <c r="L99" i="64"/>
  <c r="M99" i="64" s="1"/>
  <c r="L98" i="64"/>
  <c r="M98" i="64" s="1"/>
  <c r="L97" i="64"/>
  <c r="M97" i="64" s="1"/>
  <c r="L96" i="64"/>
  <c r="M96" i="64" s="1"/>
  <c r="L95" i="64"/>
  <c r="M95" i="64" s="1"/>
  <c r="L94" i="64"/>
  <c r="M94" i="64" s="1"/>
  <c r="L93" i="64"/>
  <c r="M93" i="64" s="1"/>
  <c r="L92" i="64"/>
  <c r="M92" i="64" s="1"/>
  <c r="L91" i="64"/>
  <c r="M91" i="64" s="1"/>
  <c r="L90" i="64"/>
  <c r="M90" i="64" s="1"/>
  <c r="L89" i="64"/>
  <c r="M89" i="64" s="1"/>
  <c r="L88" i="64"/>
  <c r="M88" i="64" s="1"/>
  <c r="L87" i="64"/>
  <c r="M87" i="64" s="1"/>
  <c r="L86" i="64"/>
  <c r="M86" i="64" s="1"/>
  <c r="L85" i="64"/>
  <c r="M85" i="64" s="1"/>
  <c r="L84" i="64"/>
  <c r="M84" i="64" s="1"/>
  <c r="L83" i="64"/>
  <c r="M83" i="64" s="1"/>
  <c r="L82" i="64"/>
  <c r="M82" i="64" s="1"/>
  <c r="L81" i="64"/>
  <c r="M81" i="64" s="1"/>
  <c r="L80" i="64"/>
  <c r="M80" i="64" s="1"/>
  <c r="L79" i="64"/>
  <c r="M79" i="64" s="1"/>
  <c r="L78" i="64"/>
  <c r="M78" i="64" s="1"/>
  <c r="L77" i="64"/>
  <c r="M77" i="64" s="1"/>
  <c r="L76" i="64"/>
  <c r="M76" i="64" s="1"/>
  <c r="L75" i="64"/>
  <c r="M75" i="64" s="1"/>
  <c r="L74" i="64"/>
  <c r="M74" i="64" s="1"/>
  <c r="L73" i="64"/>
  <c r="M73" i="64" s="1"/>
  <c r="L72" i="64"/>
  <c r="M72" i="64" s="1"/>
  <c r="L71" i="64"/>
  <c r="M71" i="64" s="1"/>
  <c r="L70" i="64"/>
  <c r="M70" i="64" s="1"/>
  <c r="L69" i="64"/>
  <c r="M69" i="64" s="1"/>
  <c r="L68" i="64"/>
  <c r="M68" i="64" s="1"/>
  <c r="L67" i="64"/>
  <c r="M67" i="64" s="1"/>
  <c r="L66" i="64"/>
  <c r="M66" i="64" s="1"/>
  <c r="L65" i="64"/>
  <c r="M65" i="64" s="1"/>
  <c r="L64" i="64"/>
  <c r="M64" i="64" s="1"/>
  <c r="L63" i="64"/>
  <c r="M63" i="64" s="1"/>
  <c r="L62" i="64"/>
  <c r="M62" i="64" s="1"/>
  <c r="L61" i="64"/>
  <c r="M61" i="64" s="1"/>
  <c r="L60" i="64"/>
  <c r="M60" i="64" s="1"/>
  <c r="L59" i="64"/>
  <c r="M59" i="64" s="1"/>
  <c r="L58" i="64"/>
  <c r="M58" i="64" s="1"/>
  <c r="L57" i="64"/>
  <c r="M57" i="64" s="1"/>
  <c r="L56" i="64"/>
  <c r="M56" i="64" s="1"/>
  <c r="L55" i="64"/>
  <c r="M55" i="64" s="1"/>
  <c r="L54" i="64"/>
  <c r="M54" i="64" s="1"/>
  <c r="L53" i="64"/>
  <c r="M53" i="64" s="1"/>
  <c r="L52" i="64"/>
  <c r="M52" i="64" s="1"/>
  <c r="L51" i="64"/>
  <c r="M51" i="64" s="1"/>
  <c r="L50" i="64"/>
  <c r="M50" i="64" s="1"/>
  <c r="L49" i="64"/>
  <c r="M49" i="64" s="1"/>
  <c r="L48" i="64"/>
  <c r="M48" i="64" s="1"/>
  <c r="L47" i="64"/>
  <c r="M47" i="64" s="1"/>
  <c r="L46" i="64"/>
  <c r="M46" i="64" s="1"/>
  <c r="L45" i="64"/>
  <c r="M45" i="64" s="1"/>
  <c r="L44" i="64"/>
  <c r="M44" i="64" s="1"/>
  <c r="L43" i="64"/>
  <c r="M43" i="64" s="1"/>
  <c r="L42" i="64"/>
  <c r="M42" i="64" s="1"/>
  <c r="L41" i="64"/>
  <c r="M41" i="64" s="1"/>
  <c r="L40" i="64"/>
  <c r="M40" i="64" s="1"/>
  <c r="L39" i="64"/>
  <c r="M39" i="64" s="1"/>
  <c r="L38" i="64"/>
  <c r="M38" i="64" s="1"/>
  <c r="L37" i="64"/>
  <c r="M37" i="64" s="1"/>
  <c r="L36" i="64"/>
  <c r="M36" i="64" s="1"/>
  <c r="L35" i="64"/>
  <c r="M35" i="64" s="1"/>
  <c r="L34" i="64"/>
  <c r="L33" i="64"/>
  <c r="M33" i="64" s="1"/>
  <c r="L32" i="64"/>
  <c r="M32" i="64" s="1"/>
  <c r="L31" i="64"/>
  <c r="M31" i="64" s="1"/>
  <c r="L30" i="64"/>
  <c r="M30" i="64" s="1"/>
  <c r="L29" i="64"/>
  <c r="M29" i="64" s="1"/>
  <c r="L28" i="64"/>
  <c r="M28" i="64" s="1"/>
  <c r="L27" i="64"/>
  <c r="M27" i="64" s="1"/>
  <c r="L26" i="64"/>
  <c r="M26" i="64" s="1"/>
  <c r="L25" i="64"/>
  <c r="M25" i="64" s="1"/>
  <c r="L24" i="64"/>
  <c r="M24" i="64" s="1"/>
  <c r="L23" i="64"/>
  <c r="M23" i="64" s="1"/>
  <c r="L22" i="64"/>
  <c r="L118" i="63"/>
  <c r="M118" i="63" s="1"/>
  <c r="V118" i="63" s="1"/>
  <c r="L115" i="63"/>
  <c r="M115" i="63" s="1"/>
  <c r="V115" i="63" s="1"/>
  <c r="L113" i="63"/>
  <c r="M113" i="63" s="1"/>
  <c r="V113" i="63" s="1"/>
  <c r="L86" i="63"/>
  <c r="M86" i="63" s="1"/>
  <c r="V86" i="63" s="1"/>
  <c r="L84" i="63"/>
  <c r="M84" i="63" s="1"/>
  <c r="L81" i="63"/>
  <c r="M81" i="63" s="1"/>
  <c r="V81" i="63" s="1"/>
  <c r="L80" i="63"/>
  <c r="M80" i="63" s="1"/>
  <c r="V80" i="63" s="1"/>
  <c r="L78" i="63"/>
  <c r="M78" i="63" s="1"/>
  <c r="L64" i="63"/>
  <c r="M64" i="63" s="1"/>
  <c r="L63" i="63"/>
  <c r="M63" i="63" s="1"/>
  <c r="L62" i="63"/>
  <c r="M62" i="63" s="1"/>
  <c r="V62" i="63" s="1"/>
  <c r="L59" i="63"/>
  <c r="M59" i="63" s="1"/>
  <c r="V59" i="63" s="1"/>
  <c r="L56" i="63"/>
  <c r="M56" i="63" s="1"/>
  <c r="V56" i="63" s="1"/>
  <c r="L54" i="63"/>
  <c r="M54" i="63" s="1"/>
  <c r="L45" i="63"/>
  <c r="M45" i="63" s="1"/>
  <c r="L44" i="63"/>
  <c r="M44" i="63" s="1"/>
  <c r="L42" i="63"/>
  <c r="M42" i="63" s="1"/>
  <c r="V42" i="63" s="1"/>
  <c r="L41" i="63"/>
  <c r="M41" i="63" s="1"/>
  <c r="V41" i="63" s="1"/>
  <c r="L37" i="63"/>
  <c r="M37" i="63" s="1"/>
  <c r="L36" i="63"/>
  <c r="M36" i="63" s="1"/>
  <c r="L33" i="63"/>
  <c r="M33" i="63" s="1"/>
  <c r="L32" i="63"/>
  <c r="M32" i="63" s="1"/>
  <c r="L31" i="63"/>
  <c r="M31" i="63" s="1"/>
  <c r="L30" i="63"/>
  <c r="M30" i="63" s="1"/>
  <c r="L22" i="63"/>
  <c r="L156" i="62"/>
  <c r="M156" i="62" s="1"/>
  <c r="L151" i="62"/>
  <c r="M151" i="62" s="1"/>
  <c r="L147" i="62"/>
  <c r="M147" i="62" s="1"/>
  <c r="L146" i="62"/>
  <c r="M146" i="62" s="1"/>
  <c r="L135" i="62"/>
  <c r="M135" i="62" s="1"/>
  <c r="V135" i="62" s="1"/>
  <c r="L134" i="62"/>
  <c r="M134" i="62" s="1"/>
  <c r="V134" i="62" s="1"/>
  <c r="L132" i="62"/>
  <c r="M132" i="62" s="1"/>
  <c r="L128" i="62"/>
  <c r="M128" i="62" s="1"/>
  <c r="L127" i="62"/>
  <c r="M127" i="62" s="1"/>
  <c r="L120" i="62"/>
  <c r="M120" i="62" s="1"/>
  <c r="L99" i="62"/>
  <c r="M99" i="62" s="1"/>
  <c r="L95" i="62"/>
  <c r="M95" i="62" s="1"/>
  <c r="L94" i="62"/>
  <c r="M94" i="62" s="1"/>
  <c r="L92" i="62"/>
  <c r="M92" i="62" s="1"/>
  <c r="L87" i="62"/>
  <c r="M87" i="62" s="1"/>
  <c r="L86" i="62"/>
  <c r="M86" i="62" s="1"/>
  <c r="L85" i="62"/>
  <c r="M85" i="62" s="1"/>
  <c r="L84" i="62"/>
  <c r="M84" i="62" s="1"/>
  <c r="L83" i="62"/>
  <c r="M83" i="62" s="1"/>
  <c r="L82" i="62"/>
  <c r="M82" i="62" s="1"/>
  <c r="V82" i="62" s="1"/>
  <c r="L57" i="62"/>
  <c r="M57" i="62" s="1"/>
  <c r="L56" i="62"/>
  <c r="M56" i="62" s="1"/>
  <c r="V56" i="62" s="1"/>
  <c r="L49" i="62"/>
  <c r="M49" i="62" s="1"/>
  <c r="L45" i="62"/>
  <c r="M45" i="62" s="1"/>
  <c r="L44" i="62"/>
  <c r="M44" i="62" s="1"/>
  <c r="L25" i="62"/>
  <c r="M25" i="62" s="1"/>
  <c r="J31" i="46"/>
  <c r="J22" i="46"/>
  <c r="J21" i="46"/>
  <c r="J20" i="46"/>
  <c r="J19" i="46"/>
  <c r="J18" i="46"/>
  <c r="J17" i="46"/>
  <c r="J16" i="46"/>
  <c r="J15" i="46"/>
  <c r="J14" i="46"/>
  <c r="J13" i="46"/>
  <c r="J12" i="46"/>
  <c r="J11" i="46"/>
  <c r="J10" i="46"/>
  <c r="I20" i="46"/>
  <c r="I19" i="46"/>
  <c r="L91" i="67" s="1"/>
  <c r="M91" i="67" s="1"/>
  <c r="V91" i="67" s="1"/>
  <c r="I18" i="46"/>
  <c r="I17" i="46"/>
  <c r="I16" i="46"/>
  <c r="L64" i="67" s="1"/>
  <c r="M64" i="67" s="1"/>
  <c r="V64" i="67" s="1"/>
  <c r="I15" i="46"/>
  <c r="I14" i="46"/>
  <c r="L93" i="67" s="1"/>
  <c r="M93" i="67" s="1"/>
  <c r="V93" i="67" s="1"/>
  <c r="I13" i="46"/>
  <c r="I12" i="46"/>
  <c r="I11" i="46"/>
  <c r="I10" i="46"/>
  <c r="H20" i="46"/>
  <c r="H19" i="46"/>
  <c r="H18" i="46"/>
  <c r="H17" i="46"/>
  <c r="H16" i="46"/>
  <c r="L28" i="66" s="1"/>
  <c r="M28" i="66" s="1"/>
  <c r="V28" i="66" s="1"/>
  <c r="H15" i="46"/>
  <c r="H14" i="46"/>
  <c r="L27" i="66" s="1"/>
  <c r="M27" i="66" s="1"/>
  <c r="V27" i="66" s="1"/>
  <c r="H13" i="46"/>
  <c r="H12" i="46"/>
  <c r="H11" i="46"/>
  <c r="H10" i="46"/>
  <c r="G22" i="46"/>
  <c r="G21" i="46"/>
  <c r="F22" i="46"/>
  <c r="F21" i="46"/>
  <c r="E22" i="46"/>
  <c r="E21" i="46"/>
  <c r="D22" i="46"/>
  <c r="D21" i="46"/>
  <c r="C22" i="46"/>
  <c r="C21" i="46"/>
  <c r="C20" i="46"/>
  <c r="C19" i="46"/>
  <c r="L85" i="63" s="1"/>
  <c r="M85" i="63" s="1"/>
  <c r="V85" i="63" s="1"/>
  <c r="C18" i="46"/>
  <c r="L25" i="63" s="1"/>
  <c r="M25" i="63" s="1"/>
  <c r="V25" i="63" s="1"/>
  <c r="C17" i="46"/>
  <c r="C16" i="46"/>
  <c r="C15" i="46"/>
  <c r="C14" i="46"/>
  <c r="L117" i="63" s="1"/>
  <c r="M117" i="63" s="1"/>
  <c r="V117" i="63" s="1"/>
  <c r="C13" i="46"/>
  <c r="C12" i="46"/>
  <c r="C11" i="46"/>
  <c r="C10" i="46"/>
  <c r="B22" i="46"/>
  <c r="B21" i="46"/>
  <c r="B20" i="46"/>
  <c r="B19" i="46"/>
  <c r="L115" i="62" s="1"/>
  <c r="M115" i="62" s="1"/>
  <c r="V115" i="62" s="1"/>
  <c r="B18" i="46"/>
  <c r="L137" i="62" s="1"/>
  <c r="M137" i="62" s="1"/>
  <c r="V137" i="62" s="1"/>
  <c r="B17" i="46"/>
  <c r="K17" i="46" s="1"/>
  <c r="B16" i="46"/>
  <c r="L116" i="62" s="1"/>
  <c r="M116" i="62" s="1"/>
  <c r="V116" i="62" s="1"/>
  <c r="B15" i="46"/>
  <c r="K15" i="46" s="1"/>
  <c r="B14" i="46"/>
  <c r="L148" i="62" s="1"/>
  <c r="M148" i="62" s="1"/>
  <c r="V148" i="62" s="1"/>
  <c r="B13" i="46"/>
  <c r="K13" i="46" s="1"/>
  <c r="B12" i="46"/>
  <c r="K12" i="46" s="1"/>
  <c r="B11" i="46"/>
  <c r="K11" i="46" s="1"/>
  <c r="B10" i="46"/>
  <c r="K10" i="46" s="1"/>
  <c r="L39" i="67" l="1"/>
  <c r="M39" i="67" s="1"/>
  <c r="V39" i="67" s="1"/>
  <c r="L40" i="67"/>
  <c r="M40" i="67" s="1"/>
  <c r="V40" i="67" s="1"/>
  <c r="L51" i="67"/>
  <c r="M51" i="67" s="1"/>
  <c r="V51" i="67" s="1"/>
  <c r="L52" i="67"/>
  <c r="M52" i="67" s="1"/>
  <c r="V52" i="67" s="1"/>
  <c r="L55" i="67"/>
  <c r="M55" i="67" s="1"/>
  <c r="V55" i="67" s="1"/>
  <c r="L65" i="67"/>
  <c r="M65" i="67" s="1"/>
  <c r="V65" i="67" s="1"/>
  <c r="L67" i="67"/>
  <c r="M67" i="67" s="1"/>
  <c r="V67" i="67" s="1"/>
  <c r="L78" i="67"/>
  <c r="M78" i="67" s="1"/>
  <c r="V78" i="67" s="1"/>
  <c r="L22" i="66"/>
  <c r="L23" i="66"/>
  <c r="M23" i="66" s="1"/>
  <c r="V23" i="66" s="1"/>
  <c r="L29" i="66"/>
  <c r="M29" i="66" s="1"/>
  <c r="V29" i="66" s="1"/>
  <c r="L30" i="66"/>
  <c r="M30" i="66" s="1"/>
  <c r="V30" i="66" s="1"/>
  <c r="L31" i="66"/>
  <c r="M31" i="66" s="1"/>
  <c r="V31" i="66" s="1"/>
  <c r="L36" i="66"/>
  <c r="M36" i="66" s="1"/>
  <c r="V36" i="66" s="1"/>
  <c r="L38" i="63"/>
  <c r="M38" i="63" s="1"/>
  <c r="V38" i="63" s="1"/>
  <c r="L58" i="63"/>
  <c r="M58" i="63" s="1"/>
  <c r="V58" i="63" s="1"/>
  <c r="L82" i="63"/>
  <c r="M82" i="63" s="1"/>
  <c r="V82" i="63" s="1"/>
  <c r="L39" i="63"/>
  <c r="M39" i="63" s="1"/>
  <c r="V39" i="63" s="1"/>
  <c r="L83" i="63"/>
  <c r="M83" i="63" s="1"/>
  <c r="V83" i="63" s="1"/>
  <c r="L114" i="63"/>
  <c r="M114" i="63" s="1"/>
  <c r="V114" i="63" s="1"/>
  <c r="L23" i="63"/>
  <c r="M23" i="63" s="1"/>
  <c r="V23" i="63" s="1"/>
  <c r="L43" i="63"/>
  <c r="M43" i="63" s="1"/>
  <c r="V43" i="63" s="1"/>
  <c r="L87" i="63"/>
  <c r="M87" i="63" s="1"/>
  <c r="V87" i="63" s="1"/>
  <c r="L119" i="63"/>
  <c r="M119" i="63" s="1"/>
  <c r="V119" i="63" s="1"/>
  <c r="L89" i="63"/>
  <c r="M89" i="63" s="1"/>
  <c r="V89" i="63" s="1"/>
  <c r="M3" i="22"/>
  <c r="L27" i="63"/>
  <c r="M27" i="63" s="1"/>
  <c r="V27" i="63" s="1"/>
  <c r="L90" i="63"/>
  <c r="M90" i="63" s="1"/>
  <c r="V90" i="63" s="1"/>
  <c r="L28" i="63"/>
  <c r="M28" i="63" s="1"/>
  <c r="V28" i="63" s="1"/>
  <c r="L46" i="63"/>
  <c r="M46" i="63" s="1"/>
  <c r="V46" i="63" s="1"/>
  <c r="L68" i="63"/>
  <c r="M68" i="63" s="1"/>
  <c r="V68" i="63" s="1"/>
  <c r="L91" i="63"/>
  <c r="M91" i="63" s="1"/>
  <c r="V91" i="63" s="1"/>
  <c r="L49" i="63"/>
  <c r="M49" i="63" s="1"/>
  <c r="V49" i="63" s="1"/>
  <c r="L70" i="63"/>
  <c r="M70" i="63" s="1"/>
  <c r="V70" i="63" s="1"/>
  <c r="L94" i="63"/>
  <c r="M94" i="63" s="1"/>
  <c r="V94" i="63" s="1"/>
  <c r="L26" i="63"/>
  <c r="M26" i="63" s="1"/>
  <c r="V26" i="63" s="1"/>
  <c r="L71" i="63"/>
  <c r="M71" i="63" s="1"/>
  <c r="V71" i="63" s="1"/>
  <c r="L97" i="63"/>
  <c r="M97" i="63" s="1"/>
  <c r="V97" i="63" s="1"/>
  <c r="L51" i="63"/>
  <c r="M51" i="63" s="1"/>
  <c r="V51" i="63" s="1"/>
  <c r="L73" i="63"/>
  <c r="M73" i="63" s="1"/>
  <c r="V73" i="63" s="1"/>
  <c r="L98" i="63"/>
  <c r="M98" i="63" s="1"/>
  <c r="V98" i="63" s="1"/>
  <c r="L65" i="63"/>
  <c r="M65" i="63" s="1"/>
  <c r="V65" i="63" s="1"/>
  <c r="L52" i="63"/>
  <c r="M52" i="63" s="1"/>
  <c r="V52" i="63" s="1"/>
  <c r="L74" i="63"/>
  <c r="M74" i="63" s="1"/>
  <c r="V74" i="63" s="1"/>
  <c r="L99" i="63"/>
  <c r="M99" i="63" s="1"/>
  <c r="V99" i="63" s="1"/>
  <c r="L34" i="63"/>
  <c r="M34" i="63" s="1"/>
  <c r="V34" i="63" s="1"/>
  <c r="L75" i="63"/>
  <c r="M75" i="63" s="1"/>
  <c r="V75" i="63" s="1"/>
  <c r="L102" i="63"/>
  <c r="M102" i="63" s="1"/>
  <c r="V102" i="63" s="1"/>
  <c r="L55" i="63"/>
  <c r="M55" i="63" s="1"/>
  <c r="V55" i="63" s="1"/>
  <c r="L67" i="63"/>
  <c r="M67" i="63" s="1"/>
  <c r="V67" i="63" s="1"/>
  <c r="L35" i="63"/>
  <c r="M35" i="63" s="1"/>
  <c r="V35" i="63" s="1"/>
  <c r="L106" i="63"/>
  <c r="M106" i="63" s="1"/>
  <c r="V106" i="63" s="1"/>
  <c r="L50" i="63"/>
  <c r="M50" i="63" s="1"/>
  <c r="V50" i="63" s="1"/>
  <c r="L103" i="63"/>
  <c r="M103" i="63" s="1"/>
  <c r="V103" i="63" s="1"/>
  <c r="L57" i="63"/>
  <c r="M57" i="63" s="1"/>
  <c r="V57" i="63" s="1"/>
  <c r="L110" i="63"/>
  <c r="M110" i="63" s="1"/>
  <c r="V110" i="63" s="1"/>
  <c r="V84" i="62"/>
  <c r="T84" i="62"/>
  <c r="Q84" i="62"/>
  <c r="S84" i="62" s="1"/>
  <c r="L50" i="62"/>
  <c r="M50" i="62" s="1"/>
  <c r="V50" i="62" s="1"/>
  <c r="V85" i="62"/>
  <c r="T85" i="62"/>
  <c r="Q85" i="62"/>
  <c r="S85" i="62" s="1"/>
  <c r="L106" i="62"/>
  <c r="M106" i="62" s="1"/>
  <c r="V106" i="62" s="1"/>
  <c r="L133" i="62"/>
  <c r="M133" i="62" s="1"/>
  <c r="V133" i="62" s="1"/>
  <c r="L152" i="62"/>
  <c r="M152" i="62" s="1"/>
  <c r="V152" i="62" s="1"/>
  <c r="V36" i="63"/>
  <c r="T36" i="63"/>
  <c r="Q36" i="63"/>
  <c r="S36" i="63" s="1"/>
  <c r="L23" i="62"/>
  <c r="M23" i="62" s="1"/>
  <c r="V23" i="62" s="1"/>
  <c r="L53" i="62"/>
  <c r="M53" i="62" s="1"/>
  <c r="V53" i="62" s="1"/>
  <c r="T87" i="62"/>
  <c r="V87" i="62"/>
  <c r="Q87" i="62"/>
  <c r="S87" i="62" s="1"/>
  <c r="L108" i="62"/>
  <c r="M108" i="62" s="1"/>
  <c r="V108" i="62" s="1"/>
  <c r="L154" i="62"/>
  <c r="M154" i="62" s="1"/>
  <c r="V154" i="62" s="1"/>
  <c r="V132" i="62"/>
  <c r="T132" i="62"/>
  <c r="Q132" i="62"/>
  <c r="S132" i="62" s="1"/>
  <c r="L55" i="62"/>
  <c r="M55" i="62" s="1"/>
  <c r="V55" i="62" s="1"/>
  <c r="V156" i="62"/>
  <c r="T156" i="62"/>
  <c r="Q156" i="62"/>
  <c r="S156" i="62" s="1"/>
  <c r="V151" i="62"/>
  <c r="T151" i="62"/>
  <c r="Q151" i="62"/>
  <c r="S151" i="62" s="1"/>
  <c r="L107" i="62"/>
  <c r="M107" i="62" s="1"/>
  <c r="V107" i="62" s="1"/>
  <c r="Q92" i="62"/>
  <c r="S92" i="62" s="1"/>
  <c r="T92" i="62"/>
  <c r="V92" i="62"/>
  <c r="L155" i="62"/>
  <c r="M155" i="62" s="1"/>
  <c r="V155" i="62" s="1"/>
  <c r="L110" i="62"/>
  <c r="M110" i="62" s="1"/>
  <c r="V110" i="62" s="1"/>
  <c r="V94" i="62"/>
  <c r="T94" i="62"/>
  <c r="Q94" i="62"/>
  <c r="S94" i="62" s="1"/>
  <c r="L140" i="62"/>
  <c r="M140" i="62" s="1"/>
  <c r="V140" i="62" s="1"/>
  <c r="M22" i="63"/>
  <c r="V63" i="63"/>
  <c r="T63" i="63"/>
  <c r="Q63" i="63"/>
  <c r="S63" i="63" s="1"/>
  <c r="M22" i="65"/>
  <c r="J8" i="65" s="1"/>
  <c r="L21" i="65"/>
  <c r="V86" i="62"/>
  <c r="T86" i="62"/>
  <c r="Q86" i="62"/>
  <c r="S86" i="62" s="1"/>
  <c r="L93" i="62"/>
  <c r="M93" i="62" s="1"/>
  <c r="V93" i="62" s="1"/>
  <c r="L139" i="62"/>
  <c r="M139" i="62" s="1"/>
  <c r="V139" i="62" s="1"/>
  <c r="L37" i="62"/>
  <c r="M37" i="62" s="1"/>
  <c r="V37" i="62" s="1"/>
  <c r="L141" i="62"/>
  <c r="M141" i="62" s="1"/>
  <c r="V141" i="62" s="1"/>
  <c r="L96" i="62"/>
  <c r="M96" i="62" s="1"/>
  <c r="V96" i="62" s="1"/>
  <c r="L105" i="62"/>
  <c r="M105" i="62" s="1"/>
  <c r="V105" i="62" s="1"/>
  <c r="L138" i="62"/>
  <c r="M138" i="62" s="1"/>
  <c r="V138" i="62" s="1"/>
  <c r="Q84" i="63"/>
  <c r="S84" i="63" s="1"/>
  <c r="T84" i="63"/>
  <c r="V84" i="63"/>
  <c r="Q57" i="62"/>
  <c r="S57" i="62" s="1"/>
  <c r="V57" i="62"/>
  <c r="T57" i="62"/>
  <c r="L117" i="62"/>
  <c r="M117" i="62" s="1"/>
  <c r="V117" i="62" s="1"/>
  <c r="L58" i="62"/>
  <c r="M58" i="62" s="1"/>
  <c r="V58" i="62" s="1"/>
  <c r="L59" i="62"/>
  <c r="M59" i="62" s="1"/>
  <c r="V59" i="62" s="1"/>
  <c r="V44" i="63"/>
  <c r="T44" i="63"/>
  <c r="Q44" i="63"/>
  <c r="S44" i="63" s="1"/>
  <c r="M22" i="64"/>
  <c r="L21" i="64"/>
  <c r="L121" i="62"/>
  <c r="M121" i="62" s="1"/>
  <c r="V121" i="62" s="1"/>
  <c r="V37" i="63"/>
  <c r="T37" i="63"/>
  <c r="Q37" i="63"/>
  <c r="S37" i="63" s="1"/>
  <c r="L24" i="62"/>
  <c r="M24" i="62" s="1"/>
  <c r="V24" i="62" s="1"/>
  <c r="L109" i="62"/>
  <c r="M109" i="62" s="1"/>
  <c r="V109" i="62" s="1"/>
  <c r="L119" i="62"/>
  <c r="M119" i="62" s="1"/>
  <c r="V119" i="62" s="1"/>
  <c r="L39" i="62"/>
  <c r="M39" i="62" s="1"/>
  <c r="V39" i="62" s="1"/>
  <c r="V120" i="62"/>
  <c r="T120" i="62"/>
  <c r="Q120" i="62"/>
  <c r="S120" i="62" s="1"/>
  <c r="L142" i="62"/>
  <c r="M142" i="62" s="1"/>
  <c r="V142" i="62" s="1"/>
  <c r="L40" i="62"/>
  <c r="M40" i="62" s="1"/>
  <c r="V40" i="62" s="1"/>
  <c r="L69" i="62"/>
  <c r="M69" i="62" s="1"/>
  <c r="V69" i="62" s="1"/>
  <c r="L97" i="62"/>
  <c r="M97" i="62" s="1"/>
  <c r="V97" i="62" s="1"/>
  <c r="L143" i="62"/>
  <c r="M143" i="62" s="1"/>
  <c r="V143" i="62" s="1"/>
  <c r="V45" i="63"/>
  <c r="T45" i="63"/>
  <c r="Q45" i="63"/>
  <c r="S45" i="63" s="1"/>
  <c r="L43" i="62"/>
  <c r="M43" i="62" s="1"/>
  <c r="V43" i="62" s="1"/>
  <c r="L70" i="62"/>
  <c r="M70" i="62" s="1"/>
  <c r="V70" i="62" s="1"/>
  <c r="L98" i="62"/>
  <c r="M98" i="62" s="1"/>
  <c r="V98" i="62" s="1"/>
  <c r="L122" i="62"/>
  <c r="M122" i="62" s="1"/>
  <c r="V122" i="62" s="1"/>
  <c r="L144" i="62"/>
  <c r="M144" i="62" s="1"/>
  <c r="V144" i="62" s="1"/>
  <c r="M22" i="66"/>
  <c r="V22" i="66" s="1"/>
  <c r="T78" i="63"/>
  <c r="Q78" i="63"/>
  <c r="S78" i="63" s="1"/>
  <c r="V78" i="63"/>
  <c r="V25" i="62"/>
  <c r="T25" i="62"/>
  <c r="Q25" i="62"/>
  <c r="S25" i="62" s="1"/>
  <c r="V95" i="62"/>
  <c r="T95" i="62"/>
  <c r="Q95" i="62"/>
  <c r="S95" i="62" s="1"/>
  <c r="V44" i="62"/>
  <c r="T44" i="62"/>
  <c r="Q44" i="62"/>
  <c r="S44" i="62" s="1"/>
  <c r="L71" i="62"/>
  <c r="M71" i="62" s="1"/>
  <c r="V71" i="62" s="1"/>
  <c r="V99" i="62"/>
  <c r="T99" i="62"/>
  <c r="Q99" i="62"/>
  <c r="S99" i="62" s="1"/>
  <c r="L126" i="62"/>
  <c r="M126" i="62" s="1"/>
  <c r="V126" i="62" s="1"/>
  <c r="L145" i="62"/>
  <c r="M145" i="62" s="1"/>
  <c r="V145" i="62" s="1"/>
  <c r="V30" i="63"/>
  <c r="T30" i="63"/>
  <c r="Q30" i="63"/>
  <c r="S30" i="63" s="1"/>
  <c r="L38" i="62"/>
  <c r="M38" i="62" s="1"/>
  <c r="V38" i="62" s="1"/>
  <c r="V64" i="63"/>
  <c r="T64" i="63"/>
  <c r="Q64" i="63"/>
  <c r="S64" i="63" s="1"/>
  <c r="T45" i="62"/>
  <c r="V45" i="62"/>
  <c r="Q45" i="62"/>
  <c r="S45" i="62" s="1"/>
  <c r="L73" i="62"/>
  <c r="M73" i="62" s="1"/>
  <c r="V73" i="62" s="1"/>
  <c r="L101" i="62"/>
  <c r="M101" i="62" s="1"/>
  <c r="V101" i="62" s="1"/>
  <c r="V127" i="62"/>
  <c r="T127" i="62"/>
  <c r="Q127" i="62"/>
  <c r="S127" i="62" s="1"/>
  <c r="V146" i="62"/>
  <c r="T146" i="62"/>
  <c r="Q146" i="62"/>
  <c r="S146" i="62" s="1"/>
  <c r="V31" i="63"/>
  <c r="T31" i="63"/>
  <c r="Q31" i="63"/>
  <c r="S31" i="63" s="1"/>
  <c r="V49" i="62"/>
  <c r="T49" i="62"/>
  <c r="Q49" i="62"/>
  <c r="S49" i="62" s="1"/>
  <c r="L22" i="62"/>
  <c r="L153" i="62"/>
  <c r="M153" i="62" s="1"/>
  <c r="V153" i="62" s="1"/>
  <c r="L46" i="62"/>
  <c r="M46" i="62" s="1"/>
  <c r="V46" i="62" s="1"/>
  <c r="L81" i="62"/>
  <c r="M81" i="62" s="1"/>
  <c r="V81" i="62" s="1"/>
  <c r="L102" i="62"/>
  <c r="M102" i="62" s="1"/>
  <c r="V102" i="62" s="1"/>
  <c r="V128" i="62"/>
  <c r="T128" i="62"/>
  <c r="Q128" i="62"/>
  <c r="S128" i="62" s="1"/>
  <c r="V147" i="62"/>
  <c r="T147" i="62"/>
  <c r="Q147" i="62"/>
  <c r="S147" i="62" s="1"/>
  <c r="V32" i="63"/>
  <c r="T32" i="63"/>
  <c r="Q32" i="63"/>
  <c r="S32" i="63" s="1"/>
  <c r="L47" i="62"/>
  <c r="M47" i="62" s="1"/>
  <c r="V47" i="62" s="1"/>
  <c r="L103" i="62"/>
  <c r="M103" i="62" s="1"/>
  <c r="V103" i="62" s="1"/>
  <c r="L129" i="62"/>
  <c r="M129" i="62" s="1"/>
  <c r="V129" i="62" s="1"/>
  <c r="L149" i="62"/>
  <c r="M149" i="62" s="1"/>
  <c r="V149" i="62" s="1"/>
  <c r="V33" i="63"/>
  <c r="T33" i="63"/>
  <c r="Q33" i="63"/>
  <c r="S33" i="63" s="1"/>
  <c r="L51" i="62"/>
  <c r="M51" i="62" s="1"/>
  <c r="V51" i="62" s="1"/>
  <c r="L48" i="62"/>
  <c r="M48" i="62" s="1"/>
  <c r="V48" i="62" s="1"/>
  <c r="T83" i="62"/>
  <c r="Q83" i="62"/>
  <c r="S83" i="62" s="1"/>
  <c r="V83" i="62"/>
  <c r="L104" i="62"/>
  <c r="M104" i="62" s="1"/>
  <c r="V104" i="62" s="1"/>
  <c r="L130" i="62"/>
  <c r="M130" i="62" s="1"/>
  <c r="V130" i="62" s="1"/>
  <c r="L150" i="62"/>
  <c r="M150" i="62" s="1"/>
  <c r="V150" i="62" s="1"/>
  <c r="Q54" i="63"/>
  <c r="S54" i="63" s="1"/>
  <c r="T54" i="63"/>
  <c r="V54" i="63"/>
  <c r="T14" i="69"/>
  <c r="R21" i="69"/>
  <c r="P21" i="66"/>
  <c r="M21" i="65"/>
  <c r="M34" i="64"/>
  <c r="J6" i="64" s="1"/>
  <c r="P21" i="67"/>
  <c r="P21" i="65"/>
  <c r="P21" i="63"/>
  <c r="P21" i="64"/>
  <c r="N14" i="64"/>
  <c r="O14" i="64" s="1"/>
  <c r="P21" i="62"/>
  <c r="N14" i="65"/>
  <c r="L9" i="65" s="1"/>
  <c r="L22" i="68"/>
  <c r="L23" i="68"/>
  <c r="M23" i="68" s="1"/>
  <c r="V23" i="68" s="1"/>
  <c r="L24" i="68"/>
  <c r="M24" i="68" s="1"/>
  <c r="V24" i="68" s="1"/>
  <c r="L25" i="68"/>
  <c r="M25" i="68" s="1"/>
  <c r="V25" i="68" s="1"/>
  <c r="L28" i="68"/>
  <c r="M28" i="68" s="1"/>
  <c r="V28" i="68" s="1"/>
  <c r="L29" i="68"/>
  <c r="M29" i="68" s="1"/>
  <c r="V29" i="68" s="1"/>
  <c r="L26" i="68"/>
  <c r="I6" i="69"/>
  <c r="L27" i="68"/>
  <c r="M27" i="68" s="1"/>
  <c r="V27" i="68" s="1"/>
  <c r="L30" i="68"/>
  <c r="M30" i="68" s="1"/>
  <c r="V30" i="68" s="1"/>
  <c r="L79" i="67"/>
  <c r="M79" i="67" s="1"/>
  <c r="V79" i="67" s="1"/>
  <c r="L97" i="67"/>
  <c r="M97" i="67" s="1"/>
  <c r="V97" i="67" s="1"/>
  <c r="L54" i="67"/>
  <c r="M54" i="67" s="1"/>
  <c r="V54" i="67" s="1"/>
  <c r="L98" i="67"/>
  <c r="M98" i="67" s="1"/>
  <c r="V98" i="67" s="1"/>
  <c r="L30" i="67"/>
  <c r="M30" i="67" s="1"/>
  <c r="V30" i="67" s="1"/>
  <c r="L56" i="67"/>
  <c r="M56" i="67" s="1"/>
  <c r="V56" i="67" s="1"/>
  <c r="L68" i="67"/>
  <c r="M68" i="67" s="1"/>
  <c r="V68" i="67" s="1"/>
  <c r="L84" i="67"/>
  <c r="M84" i="67" s="1"/>
  <c r="V84" i="67" s="1"/>
  <c r="L100" i="67"/>
  <c r="M100" i="67" s="1"/>
  <c r="V100" i="67" s="1"/>
  <c r="L99" i="67"/>
  <c r="M99" i="67" s="1"/>
  <c r="V99" i="67" s="1"/>
  <c r="L31" i="67"/>
  <c r="M31" i="67" s="1"/>
  <c r="V31" i="67" s="1"/>
  <c r="L44" i="67"/>
  <c r="M44" i="67" s="1"/>
  <c r="V44" i="67" s="1"/>
  <c r="L57" i="67"/>
  <c r="M57" i="67" s="1"/>
  <c r="V57" i="67" s="1"/>
  <c r="L69" i="67"/>
  <c r="M69" i="67" s="1"/>
  <c r="V69" i="67" s="1"/>
  <c r="L85" i="67"/>
  <c r="L101" i="67"/>
  <c r="M101" i="67" s="1"/>
  <c r="V101" i="67" s="1"/>
  <c r="L83" i="67"/>
  <c r="M83" i="67" s="1"/>
  <c r="V83" i="67" s="1"/>
  <c r="L22" i="67"/>
  <c r="L32" i="67"/>
  <c r="M32" i="67" s="1"/>
  <c r="V32" i="67" s="1"/>
  <c r="L58" i="67"/>
  <c r="M58" i="67" s="1"/>
  <c r="V58" i="67" s="1"/>
  <c r="L70" i="67"/>
  <c r="M70" i="67" s="1"/>
  <c r="V70" i="67" s="1"/>
  <c r="L86" i="67"/>
  <c r="M86" i="67" s="1"/>
  <c r="V86" i="67" s="1"/>
  <c r="L102" i="67"/>
  <c r="M102" i="67" s="1"/>
  <c r="V102" i="67" s="1"/>
  <c r="L42" i="67"/>
  <c r="M42" i="67" s="1"/>
  <c r="V42" i="67" s="1"/>
  <c r="L82" i="67"/>
  <c r="M82" i="67" s="1"/>
  <c r="V82" i="67" s="1"/>
  <c r="L23" i="67"/>
  <c r="L33" i="67"/>
  <c r="M33" i="67" s="1"/>
  <c r="V33" i="67" s="1"/>
  <c r="L45" i="67"/>
  <c r="M45" i="67" s="1"/>
  <c r="V45" i="67" s="1"/>
  <c r="L59" i="67"/>
  <c r="M59" i="67" s="1"/>
  <c r="V59" i="67" s="1"/>
  <c r="L71" i="67"/>
  <c r="M71" i="67" s="1"/>
  <c r="V71" i="67" s="1"/>
  <c r="L87" i="67"/>
  <c r="M87" i="67" s="1"/>
  <c r="V87" i="67" s="1"/>
  <c r="L29" i="67"/>
  <c r="M29" i="67" s="1"/>
  <c r="V29" i="67" s="1"/>
  <c r="L46" i="67"/>
  <c r="M46" i="67" s="1"/>
  <c r="V46" i="67" s="1"/>
  <c r="L60" i="67"/>
  <c r="M60" i="67" s="1"/>
  <c r="V60" i="67" s="1"/>
  <c r="L72" i="67"/>
  <c r="M72" i="67" s="1"/>
  <c r="V72" i="67" s="1"/>
  <c r="L88" i="67"/>
  <c r="M88" i="67" s="1"/>
  <c r="V88" i="67" s="1"/>
  <c r="L66" i="67"/>
  <c r="M66" i="67" s="1"/>
  <c r="V66" i="67" s="1"/>
  <c r="L53" i="67"/>
  <c r="M53" i="67" s="1"/>
  <c r="V53" i="67" s="1"/>
  <c r="L74" i="67"/>
  <c r="M74" i="67" s="1"/>
  <c r="V74" i="67" s="1"/>
  <c r="L81" i="67"/>
  <c r="M81" i="67" s="1"/>
  <c r="V81" i="67" s="1"/>
  <c r="L89" i="67"/>
  <c r="M89" i="67" s="1"/>
  <c r="V89" i="67" s="1"/>
  <c r="L48" i="67"/>
  <c r="M48" i="67" s="1"/>
  <c r="V48" i="67" s="1"/>
  <c r="L27" i="67"/>
  <c r="L75" i="67"/>
  <c r="M75" i="67" s="1"/>
  <c r="V75" i="67" s="1"/>
  <c r="L41" i="67"/>
  <c r="L73" i="67"/>
  <c r="M73" i="67" s="1"/>
  <c r="V73" i="67" s="1"/>
  <c r="L90" i="67"/>
  <c r="M90" i="67" s="1"/>
  <c r="V90" i="67" s="1"/>
  <c r="L49" i="67"/>
  <c r="M49" i="67" s="1"/>
  <c r="V49" i="67" s="1"/>
  <c r="L63" i="67"/>
  <c r="M63" i="67" s="1"/>
  <c r="V63" i="67" s="1"/>
  <c r="L36" i="67"/>
  <c r="M36" i="67" s="1"/>
  <c r="V36" i="67" s="1"/>
  <c r="L50" i="67"/>
  <c r="M50" i="67" s="1"/>
  <c r="V50" i="67" s="1"/>
  <c r="L76" i="67"/>
  <c r="M76" i="67" s="1"/>
  <c r="V76" i="67" s="1"/>
  <c r="L92" i="67"/>
  <c r="M92" i="67" s="1"/>
  <c r="V92" i="67" s="1"/>
  <c r="L61" i="67"/>
  <c r="M61" i="67" s="1"/>
  <c r="V61" i="67" s="1"/>
  <c r="L26" i="67"/>
  <c r="M26" i="67" s="1"/>
  <c r="V26" i="67" s="1"/>
  <c r="L62" i="67"/>
  <c r="M62" i="67" s="1"/>
  <c r="V62" i="67" s="1"/>
  <c r="L37" i="67"/>
  <c r="M37" i="67" s="1"/>
  <c r="V37" i="67" s="1"/>
  <c r="L77" i="67"/>
  <c r="M77" i="67" s="1"/>
  <c r="V77" i="67" s="1"/>
  <c r="L25" i="66"/>
  <c r="M25" i="66" s="1"/>
  <c r="V25" i="66" s="1"/>
  <c r="L32" i="66"/>
  <c r="M32" i="66" s="1"/>
  <c r="V32" i="66" s="1"/>
  <c r="L24" i="66"/>
  <c r="M24" i="66" s="1"/>
  <c r="V24" i="66" s="1"/>
  <c r="L26" i="66"/>
  <c r="M26" i="66" s="1"/>
  <c r="V26" i="66" s="1"/>
  <c r="L33" i="66"/>
  <c r="M33" i="66" s="1"/>
  <c r="V33" i="66" s="1"/>
  <c r="L34" i="66"/>
  <c r="M34" i="66" s="1"/>
  <c r="V34" i="66" s="1"/>
  <c r="L35" i="66"/>
  <c r="M35" i="66" s="1"/>
  <c r="V35" i="66" s="1"/>
  <c r="L24" i="63"/>
  <c r="L40" i="63"/>
  <c r="M40" i="63" s="1"/>
  <c r="V40" i="63" s="1"/>
  <c r="L72" i="63"/>
  <c r="M72" i="63" s="1"/>
  <c r="V72" i="63" s="1"/>
  <c r="L88" i="63"/>
  <c r="M88" i="63" s="1"/>
  <c r="V88" i="63" s="1"/>
  <c r="L104" i="63"/>
  <c r="M104" i="63" s="1"/>
  <c r="V104" i="63" s="1"/>
  <c r="L120" i="63"/>
  <c r="M120" i="63" s="1"/>
  <c r="V120" i="63" s="1"/>
  <c r="L107" i="63"/>
  <c r="M107" i="63" s="1"/>
  <c r="V107" i="63" s="1"/>
  <c r="L105" i="63"/>
  <c r="M105" i="63" s="1"/>
  <c r="V105" i="63" s="1"/>
  <c r="L60" i="63"/>
  <c r="M60" i="63" s="1"/>
  <c r="V60" i="63" s="1"/>
  <c r="L76" i="63"/>
  <c r="M76" i="63" s="1"/>
  <c r="V76" i="63" s="1"/>
  <c r="L92" i="63"/>
  <c r="M92" i="63" s="1"/>
  <c r="V92" i="63" s="1"/>
  <c r="L108" i="63"/>
  <c r="M108" i="63" s="1"/>
  <c r="V108" i="63" s="1"/>
  <c r="L29" i="63"/>
  <c r="M29" i="63" s="1"/>
  <c r="V29" i="63" s="1"/>
  <c r="L61" i="63"/>
  <c r="L77" i="63"/>
  <c r="M77" i="63" s="1"/>
  <c r="V77" i="63" s="1"/>
  <c r="L93" i="63"/>
  <c r="M93" i="63" s="1"/>
  <c r="V93" i="63" s="1"/>
  <c r="L109" i="63"/>
  <c r="M109" i="63" s="1"/>
  <c r="V109" i="63" s="1"/>
  <c r="I4" i="65"/>
  <c r="L47" i="63"/>
  <c r="M47" i="63" s="1"/>
  <c r="V47" i="63" s="1"/>
  <c r="L79" i="63"/>
  <c r="M79" i="63" s="1"/>
  <c r="V79" i="63" s="1"/>
  <c r="L95" i="63"/>
  <c r="M95" i="63" s="1"/>
  <c r="V95" i="63" s="1"/>
  <c r="L111" i="63"/>
  <c r="M111" i="63" s="1"/>
  <c r="V111" i="63" s="1"/>
  <c r="L48" i="63"/>
  <c r="M48" i="63" s="1"/>
  <c r="V48" i="63" s="1"/>
  <c r="L96" i="63"/>
  <c r="M96" i="63" s="1"/>
  <c r="V96" i="63" s="1"/>
  <c r="L112" i="63"/>
  <c r="M112" i="63" s="1"/>
  <c r="V112" i="63" s="1"/>
  <c r="L66" i="63"/>
  <c r="M66" i="63" s="1"/>
  <c r="V66" i="63" s="1"/>
  <c r="L100" i="63"/>
  <c r="M100" i="63" s="1"/>
  <c r="V100" i="63" s="1"/>
  <c r="L116" i="63"/>
  <c r="M116" i="63" s="1"/>
  <c r="V116" i="63" s="1"/>
  <c r="L53" i="63"/>
  <c r="L69" i="63"/>
  <c r="M69" i="63" s="1"/>
  <c r="V69" i="63" s="1"/>
  <c r="L101" i="63"/>
  <c r="M101" i="63" s="1"/>
  <c r="V101" i="63" s="1"/>
  <c r="L54" i="62"/>
  <c r="M54" i="62" s="1"/>
  <c r="V54" i="62" s="1"/>
  <c r="L118" i="62"/>
  <c r="M118" i="62" s="1"/>
  <c r="V118" i="62" s="1"/>
  <c r="L72" i="62"/>
  <c r="M72" i="62" s="1"/>
  <c r="V72" i="62" s="1"/>
  <c r="L88" i="62"/>
  <c r="M88" i="62" s="1"/>
  <c r="V88" i="62" s="1"/>
  <c r="L136" i="62"/>
  <c r="M136" i="62" s="1"/>
  <c r="V136" i="62" s="1"/>
  <c r="L41" i="62"/>
  <c r="M41" i="62" s="1"/>
  <c r="V41" i="62" s="1"/>
  <c r="L89" i="62"/>
  <c r="M89" i="62" s="1"/>
  <c r="V89" i="62" s="1"/>
  <c r="I8" i="65"/>
  <c r="J7" i="65"/>
  <c r="L26" i="62"/>
  <c r="M26" i="62" s="1"/>
  <c r="V26" i="62" s="1"/>
  <c r="L42" i="62"/>
  <c r="M42" i="62" s="1"/>
  <c r="V42" i="62" s="1"/>
  <c r="L74" i="62"/>
  <c r="M74" i="62" s="1"/>
  <c r="V74" i="62" s="1"/>
  <c r="L90" i="62"/>
  <c r="M90" i="62" s="1"/>
  <c r="V90" i="62" s="1"/>
  <c r="J5" i="65"/>
  <c r="J6" i="65"/>
  <c r="L27" i="62"/>
  <c r="M27" i="62" s="1"/>
  <c r="V27" i="62" s="1"/>
  <c r="L75" i="62"/>
  <c r="M75" i="62" s="1"/>
  <c r="V75" i="62" s="1"/>
  <c r="L91" i="62"/>
  <c r="M91" i="62" s="1"/>
  <c r="V91" i="62" s="1"/>
  <c r="L123" i="62"/>
  <c r="M123" i="62" s="1"/>
  <c r="V123" i="62" s="1"/>
  <c r="J4" i="65"/>
  <c r="L28" i="62"/>
  <c r="M28" i="62" s="1"/>
  <c r="V28" i="62" s="1"/>
  <c r="L60" i="62"/>
  <c r="M60" i="62" s="1"/>
  <c r="V60" i="62" s="1"/>
  <c r="L76" i="62"/>
  <c r="M76" i="62" s="1"/>
  <c r="V76" i="62" s="1"/>
  <c r="L124" i="62"/>
  <c r="M124" i="62" s="1"/>
  <c r="V124" i="62" s="1"/>
  <c r="L29" i="62"/>
  <c r="M29" i="62" s="1"/>
  <c r="V29" i="62" s="1"/>
  <c r="L61" i="62"/>
  <c r="M61" i="62" s="1"/>
  <c r="V61" i="62" s="1"/>
  <c r="L77" i="62"/>
  <c r="M77" i="62" s="1"/>
  <c r="V77" i="62" s="1"/>
  <c r="L125" i="62"/>
  <c r="M125" i="62" s="1"/>
  <c r="V125" i="62" s="1"/>
  <c r="L30" i="62"/>
  <c r="M30" i="62" s="1"/>
  <c r="V30" i="62" s="1"/>
  <c r="L62" i="62"/>
  <c r="M62" i="62" s="1"/>
  <c r="V62" i="62" s="1"/>
  <c r="L78" i="62"/>
  <c r="M78" i="62" s="1"/>
  <c r="V78" i="62" s="1"/>
  <c r="L31" i="62"/>
  <c r="M31" i="62" s="1"/>
  <c r="V31" i="62" s="1"/>
  <c r="L63" i="62"/>
  <c r="M63" i="62" s="1"/>
  <c r="V63" i="62" s="1"/>
  <c r="L79" i="62"/>
  <c r="M79" i="62" s="1"/>
  <c r="V79" i="62" s="1"/>
  <c r="L111" i="62"/>
  <c r="M111" i="62" s="1"/>
  <c r="V111" i="62" s="1"/>
  <c r="L32" i="62"/>
  <c r="M32" i="62" s="1"/>
  <c r="V32" i="62" s="1"/>
  <c r="L64" i="62"/>
  <c r="M64" i="62" s="1"/>
  <c r="V64" i="62" s="1"/>
  <c r="L80" i="62"/>
  <c r="M80" i="62" s="1"/>
  <c r="V80" i="62" s="1"/>
  <c r="L112" i="62"/>
  <c r="M112" i="62" s="1"/>
  <c r="V112" i="62" s="1"/>
  <c r="L33" i="62"/>
  <c r="M33" i="62" s="1"/>
  <c r="V33" i="62" s="1"/>
  <c r="L65" i="62"/>
  <c r="M65" i="62" s="1"/>
  <c r="V65" i="62" s="1"/>
  <c r="L113" i="62"/>
  <c r="M113" i="62" s="1"/>
  <c r="V113" i="62" s="1"/>
  <c r="K14" i="46"/>
  <c r="L34" i="62"/>
  <c r="M34" i="62" s="1"/>
  <c r="V34" i="62" s="1"/>
  <c r="L66" i="62"/>
  <c r="L114" i="62"/>
  <c r="M114" i="62" s="1"/>
  <c r="V114" i="62" s="1"/>
  <c r="L35" i="62"/>
  <c r="M35" i="62" s="1"/>
  <c r="V35" i="62" s="1"/>
  <c r="L67" i="62"/>
  <c r="M67" i="62" s="1"/>
  <c r="V67" i="62" s="1"/>
  <c r="L131" i="62"/>
  <c r="M131" i="62" s="1"/>
  <c r="V131" i="62" s="1"/>
  <c r="K16" i="46"/>
  <c r="I8" i="64"/>
  <c r="L36" i="62"/>
  <c r="M36" i="62" s="1"/>
  <c r="V36" i="62" s="1"/>
  <c r="L52" i="62"/>
  <c r="M52" i="62" s="1"/>
  <c r="V52" i="62" s="1"/>
  <c r="L68" i="62"/>
  <c r="M68" i="62" s="1"/>
  <c r="V68" i="62" s="1"/>
  <c r="L100" i="62"/>
  <c r="I5" i="65"/>
  <c r="I6" i="65"/>
  <c r="I7" i="65"/>
  <c r="B13" i="68"/>
  <c r="B4" i="68"/>
  <c r="N2" i="68"/>
  <c r="B13" i="67"/>
  <c r="B4" i="67"/>
  <c r="N2" i="67"/>
  <c r="B13" i="66"/>
  <c r="B4" i="66"/>
  <c r="N2" i="66"/>
  <c r="B13" i="65"/>
  <c r="B4" i="65"/>
  <c r="N2" i="65"/>
  <c r="B13" i="64"/>
  <c r="B4" i="64"/>
  <c r="N2" i="64"/>
  <c r="B13" i="63"/>
  <c r="B4" i="63"/>
  <c r="N2" i="63"/>
  <c r="B13" i="62"/>
  <c r="B4" i="62"/>
  <c r="N2" i="62"/>
  <c r="L21" i="63" l="1"/>
  <c r="R21" i="63"/>
  <c r="I7" i="64"/>
  <c r="J8" i="64"/>
  <c r="M22" i="68"/>
  <c r="V22" i="68" s="1"/>
  <c r="L21" i="68"/>
  <c r="R21" i="68" s="1"/>
  <c r="M22" i="62"/>
  <c r="I10" i="62" s="1"/>
  <c r="L21" i="62"/>
  <c r="J5" i="64"/>
  <c r="J7" i="64"/>
  <c r="V22" i="63"/>
  <c r="M24" i="63"/>
  <c r="V24" i="63" s="1"/>
  <c r="M22" i="67"/>
  <c r="V22" i="67" s="1"/>
  <c r="L21" i="67"/>
  <c r="R21" i="67" s="1"/>
  <c r="I5" i="64"/>
  <c r="I4" i="64"/>
  <c r="M53" i="63"/>
  <c r="V53" i="63" s="1"/>
  <c r="M61" i="63"/>
  <c r="V61" i="63" s="1"/>
  <c r="M66" i="62"/>
  <c r="V66" i="62" s="1"/>
  <c r="M100" i="62"/>
  <c r="V100" i="62" s="1"/>
  <c r="I6" i="64"/>
  <c r="J4" i="64"/>
  <c r="L21" i="66"/>
  <c r="R21" i="66" s="1"/>
  <c r="M85" i="67"/>
  <c r="V85" i="67" s="1"/>
  <c r="M41" i="67"/>
  <c r="V41" i="67" s="1"/>
  <c r="M27" i="67"/>
  <c r="V27" i="67" s="1"/>
  <c r="M23" i="67"/>
  <c r="V23" i="67" s="1"/>
  <c r="M21" i="66"/>
  <c r="N14" i="66"/>
  <c r="O14" i="66" s="1"/>
  <c r="N13" i="66"/>
  <c r="M21" i="64"/>
  <c r="M26" i="68"/>
  <c r="J5" i="68" s="1"/>
  <c r="L8" i="64"/>
  <c r="L9" i="64"/>
  <c r="L10" i="64"/>
  <c r="L11" i="64"/>
  <c r="L8" i="65"/>
  <c r="L10" i="65"/>
  <c r="L11" i="65"/>
  <c r="O14" i="65"/>
  <c r="J5" i="69"/>
  <c r="J6" i="69"/>
  <c r="J4" i="69"/>
  <c r="J7" i="69"/>
  <c r="I4" i="69"/>
  <c r="I5" i="69"/>
  <c r="I7" i="69"/>
  <c r="J11" i="63"/>
  <c r="I5" i="63"/>
  <c r="J4" i="63"/>
  <c r="J7" i="63"/>
  <c r="J6" i="63"/>
  <c r="J10" i="63"/>
  <c r="I9" i="63"/>
  <c r="I7" i="63"/>
  <c r="I6" i="63"/>
  <c r="J12" i="63"/>
  <c r="J5" i="63"/>
  <c r="I8" i="63"/>
  <c r="J11" i="62"/>
  <c r="J8" i="62"/>
  <c r="J5" i="62"/>
  <c r="I4" i="62"/>
  <c r="I13" i="62"/>
  <c r="I12" i="62"/>
  <c r="D17" i="43"/>
  <c r="D17" i="30"/>
  <c r="D17" i="29"/>
  <c r="D17" i="38"/>
  <c r="D18" i="38"/>
  <c r="F18" i="38" s="1"/>
  <c r="D19" i="38"/>
  <c r="D20" i="38"/>
  <c r="F20" i="38" s="1"/>
  <c r="D21" i="38"/>
  <c r="D22" i="38"/>
  <c r="F22" i="38"/>
  <c r="D76" i="43"/>
  <c r="D76" i="30"/>
  <c r="D76" i="29"/>
  <c r="I5" i="68" l="1"/>
  <c r="I4" i="68"/>
  <c r="J4" i="68"/>
  <c r="I11" i="62"/>
  <c r="J13" i="62"/>
  <c r="I6" i="62"/>
  <c r="J5" i="67"/>
  <c r="I10" i="63"/>
  <c r="J13" i="63"/>
  <c r="I11" i="63"/>
  <c r="J8" i="63"/>
  <c r="N14" i="63"/>
  <c r="O14" i="63" s="1"/>
  <c r="N13" i="63"/>
  <c r="M21" i="63"/>
  <c r="J12" i="62"/>
  <c r="I4" i="63"/>
  <c r="R21" i="62"/>
  <c r="E23" i="1"/>
  <c r="J7" i="62"/>
  <c r="M21" i="62"/>
  <c r="V22" i="62"/>
  <c r="J14" i="62"/>
  <c r="J4" i="62"/>
  <c r="J10" i="62"/>
  <c r="I7" i="62"/>
  <c r="I8" i="62"/>
  <c r="I9" i="62"/>
  <c r="I5" i="62"/>
  <c r="I14" i="62"/>
  <c r="J9" i="62"/>
  <c r="I12" i="63"/>
  <c r="J6" i="62"/>
  <c r="J9" i="63"/>
  <c r="I13" i="63"/>
  <c r="I11" i="67"/>
  <c r="E24" i="1"/>
  <c r="I4" i="67"/>
  <c r="N14" i="67"/>
  <c r="O14" i="67" s="1"/>
  <c r="J6" i="67"/>
  <c r="J10" i="67"/>
  <c r="J4" i="67"/>
  <c r="I10" i="67"/>
  <c r="M21" i="67"/>
  <c r="I8" i="67"/>
  <c r="J7" i="67"/>
  <c r="J12" i="67"/>
  <c r="I7" i="67"/>
  <c r="I12" i="67"/>
  <c r="J13" i="67"/>
  <c r="J11" i="67"/>
  <c r="I13" i="67"/>
  <c r="N13" i="67"/>
  <c r="I5" i="67"/>
  <c r="I6" i="67"/>
  <c r="I9" i="67"/>
  <c r="J8" i="67"/>
  <c r="J9" i="67"/>
  <c r="M12" i="66"/>
  <c r="M11" i="66"/>
  <c r="O13" i="66"/>
  <c r="M21" i="68"/>
  <c r="V26" i="68"/>
  <c r="H18" i="38"/>
  <c r="H20" i="38"/>
  <c r="N14" i="62" l="1"/>
  <c r="O14" i="62" s="1"/>
  <c r="N13" i="62"/>
  <c r="M12" i="63"/>
  <c r="O13" i="63"/>
  <c r="M11" i="63"/>
  <c r="M12" i="67"/>
  <c r="O13" i="67"/>
  <c r="M11" i="67"/>
  <c r="N13" i="68"/>
  <c r="N14" i="68"/>
  <c r="O14" i="68" s="1"/>
  <c r="N23" i="43"/>
  <c r="O23" i="43"/>
  <c r="P23" i="43"/>
  <c r="M23" i="43"/>
  <c r="D76" i="38"/>
  <c r="D23" i="38" s="1"/>
  <c r="D24" i="38" s="1"/>
  <c r="F24" i="38" s="1"/>
  <c r="F57" i="43"/>
  <c r="F42" i="43"/>
  <c r="F34" i="43"/>
  <c r="F59" i="43" s="1"/>
  <c r="F57" i="30"/>
  <c r="F42" i="30"/>
  <c r="F34" i="30"/>
  <c r="F59" i="30" s="1"/>
  <c r="F57" i="29"/>
  <c r="F42" i="29"/>
  <c r="F34" i="29"/>
  <c r="F59" i="29" s="1"/>
  <c r="F57" i="38"/>
  <c r="F42" i="38"/>
  <c r="F34" i="38"/>
  <c r="F59" i="38" s="1"/>
  <c r="O13" i="62" l="1"/>
  <c r="M11" i="62"/>
  <c r="M12" i="62"/>
  <c r="M12" i="68"/>
  <c r="M11" i="68"/>
  <c r="O13" i="68"/>
  <c r="F28" i="43"/>
  <c r="D23" i="43"/>
  <c r="D21" i="43"/>
  <c r="D19" i="43"/>
  <c r="F28" i="30"/>
  <c r="D23" i="30"/>
  <c r="D21" i="30"/>
  <c r="D19" i="30"/>
  <c r="F28" i="29"/>
  <c r="D23" i="29"/>
  <c r="D21" i="29"/>
  <c r="D19" i="29"/>
  <c r="F28" i="38"/>
  <c r="C2" i="38" l="1"/>
  <c r="C2" i="29"/>
  <c r="C2" i="30"/>
  <c r="C2" i="43"/>
  <c r="C2" i="23" l="1"/>
  <c r="C2" i="3" l="1"/>
  <c r="G1" i="22" l="1"/>
  <c r="E1" i="46" l="1"/>
  <c r="E1" i="43"/>
  <c r="E1" i="29"/>
  <c r="E1" i="30"/>
  <c r="E1" i="38"/>
  <c r="I2" i="1"/>
  <c r="B2" i="22" l="1"/>
  <c r="B2" i="46" l="1"/>
  <c r="K68" i="43" l="1"/>
  <c r="K67" i="43"/>
  <c r="K66" i="43"/>
  <c r="K65" i="43"/>
  <c r="K60" i="43"/>
  <c r="H60" i="43"/>
  <c r="K56" i="43"/>
  <c r="H56" i="43"/>
  <c r="K55" i="43"/>
  <c r="H55" i="43"/>
  <c r="K54" i="43"/>
  <c r="H54" i="43"/>
  <c r="K53" i="43"/>
  <c r="H53" i="43"/>
  <c r="K52" i="43"/>
  <c r="H52" i="43"/>
  <c r="K51" i="43"/>
  <c r="H51" i="43"/>
  <c r="K50" i="43"/>
  <c r="H50" i="43"/>
  <c r="K48" i="43"/>
  <c r="H48" i="43"/>
  <c r="K47" i="43"/>
  <c r="H47" i="43"/>
  <c r="K46" i="43"/>
  <c r="H46" i="43"/>
  <c r="K41" i="43"/>
  <c r="H41" i="43"/>
  <c r="K40" i="43"/>
  <c r="H40" i="43"/>
  <c r="K39" i="43"/>
  <c r="H39" i="43"/>
  <c r="K38" i="43"/>
  <c r="H38" i="43"/>
  <c r="K33" i="43"/>
  <c r="H33" i="43"/>
  <c r="K32" i="43"/>
  <c r="H32" i="43"/>
  <c r="H28" i="43"/>
  <c r="K27" i="43"/>
  <c r="H27" i="43"/>
  <c r="K25" i="43"/>
  <c r="F14" i="43"/>
  <c r="K13" i="43"/>
  <c r="H13" i="43"/>
  <c r="H14" i="43" s="1"/>
  <c r="K14" i="43" s="1"/>
  <c r="K12" i="43"/>
  <c r="H12" i="43"/>
  <c r="K11" i="43"/>
  <c r="H11" i="43"/>
  <c r="K10" i="43"/>
  <c r="H10" i="43"/>
  <c r="P9" i="43"/>
  <c r="O9" i="43"/>
  <c r="N9" i="43"/>
  <c r="M9" i="43"/>
  <c r="K9" i="43"/>
  <c r="H9" i="43"/>
  <c r="K68" i="29"/>
  <c r="K67" i="29"/>
  <c r="K66" i="29"/>
  <c r="K65" i="29"/>
  <c r="K60" i="29"/>
  <c r="K56" i="29"/>
  <c r="K55" i="29"/>
  <c r="K54" i="29"/>
  <c r="K53" i="29"/>
  <c r="K52" i="29"/>
  <c r="K51" i="29"/>
  <c r="K50" i="29"/>
  <c r="K48" i="29"/>
  <c r="K47" i="29"/>
  <c r="K46" i="29"/>
  <c r="K41" i="29"/>
  <c r="K40" i="29"/>
  <c r="K39" i="29"/>
  <c r="K38" i="29"/>
  <c r="K33" i="29"/>
  <c r="K32" i="29"/>
  <c r="K27" i="29"/>
  <c r="K25" i="29"/>
  <c r="K13" i="29"/>
  <c r="K12" i="29"/>
  <c r="K11" i="29"/>
  <c r="K10" i="29"/>
  <c r="K9" i="29"/>
  <c r="K68" i="30"/>
  <c r="K67" i="30"/>
  <c r="K66" i="30"/>
  <c r="K65" i="30"/>
  <c r="K60" i="30"/>
  <c r="K56" i="30"/>
  <c r="K55" i="30"/>
  <c r="K54" i="30"/>
  <c r="K53" i="30"/>
  <c r="K52" i="30"/>
  <c r="K51" i="30"/>
  <c r="K50" i="30"/>
  <c r="K48" i="30"/>
  <c r="K47" i="30"/>
  <c r="K46" i="30"/>
  <c r="K41" i="30"/>
  <c r="K40" i="30"/>
  <c r="K39" i="30"/>
  <c r="K38" i="30"/>
  <c r="K33" i="30"/>
  <c r="K32" i="30"/>
  <c r="K27" i="30"/>
  <c r="K25" i="30"/>
  <c r="K13" i="30"/>
  <c r="K12" i="30"/>
  <c r="K11" i="30"/>
  <c r="K10" i="30"/>
  <c r="K9" i="30"/>
  <c r="K68" i="38"/>
  <c r="K67" i="38"/>
  <c r="K66" i="38"/>
  <c r="K65" i="38"/>
  <c r="K60" i="38"/>
  <c r="K56" i="38"/>
  <c r="K55" i="38"/>
  <c r="K54" i="38"/>
  <c r="K53" i="38"/>
  <c r="K52" i="38"/>
  <c r="K51" i="38"/>
  <c r="K50" i="38"/>
  <c r="K48" i="38"/>
  <c r="K47" i="38"/>
  <c r="K46" i="38"/>
  <c r="K41" i="38"/>
  <c r="K40" i="38"/>
  <c r="K39" i="38"/>
  <c r="K38" i="38"/>
  <c r="K33" i="38"/>
  <c r="K32" i="38"/>
  <c r="K27" i="38"/>
  <c r="K25" i="38"/>
  <c r="K13" i="38"/>
  <c r="K12" i="38"/>
  <c r="K11" i="38"/>
  <c r="K10" i="38"/>
  <c r="K9" i="38"/>
  <c r="H56" i="29"/>
  <c r="H55" i="29"/>
  <c r="H54" i="29"/>
  <c r="H53" i="29"/>
  <c r="H52" i="29"/>
  <c r="H51" i="29"/>
  <c r="H50" i="29"/>
  <c r="H48" i="29"/>
  <c r="H47" i="29"/>
  <c r="H46" i="29"/>
  <c r="H41" i="29"/>
  <c r="H40" i="29"/>
  <c r="H39" i="29"/>
  <c r="H38" i="29"/>
  <c r="H33" i="29"/>
  <c r="H32" i="29"/>
  <c r="H28" i="29"/>
  <c r="H27" i="29"/>
  <c r="H13" i="29"/>
  <c r="H14" i="29" s="1"/>
  <c r="K14" i="29" s="1"/>
  <c r="H12" i="29"/>
  <c r="H11" i="29"/>
  <c r="H10" i="29"/>
  <c r="H9" i="29"/>
  <c r="H56" i="30"/>
  <c r="H55" i="30"/>
  <c r="H54" i="30"/>
  <c r="H53" i="30"/>
  <c r="H52" i="30"/>
  <c r="H51" i="30"/>
  <c r="H50" i="30"/>
  <c r="H48" i="30"/>
  <c r="H47" i="30"/>
  <c r="H46" i="30"/>
  <c r="H41" i="30"/>
  <c r="H40" i="30"/>
  <c r="H39" i="30"/>
  <c r="H38" i="30"/>
  <c r="H33" i="30"/>
  <c r="H32" i="30"/>
  <c r="H28" i="30"/>
  <c r="H27" i="30"/>
  <c r="H13" i="30"/>
  <c r="H14" i="30" s="1"/>
  <c r="K14" i="30" s="1"/>
  <c r="H12" i="30"/>
  <c r="H11" i="30"/>
  <c r="H10" i="30"/>
  <c r="H9" i="30"/>
  <c r="H56" i="38"/>
  <c r="H55" i="38"/>
  <c r="H54" i="38"/>
  <c r="H53" i="38"/>
  <c r="H52" i="38"/>
  <c r="H51" i="38"/>
  <c r="H50" i="38"/>
  <c r="H48" i="38"/>
  <c r="H47" i="38"/>
  <c r="H46" i="38"/>
  <c r="H41" i="38"/>
  <c r="H40" i="38"/>
  <c r="H39" i="38"/>
  <c r="H38" i="38"/>
  <c r="H33" i="38"/>
  <c r="H32" i="38"/>
  <c r="H28" i="38"/>
  <c r="H27" i="38"/>
  <c r="H13" i="38"/>
  <c r="H14" i="38" s="1"/>
  <c r="K14" i="38" s="1"/>
  <c r="H12" i="38"/>
  <c r="H11" i="38"/>
  <c r="H10" i="38"/>
  <c r="H9" i="38"/>
  <c r="F14" i="38"/>
  <c r="D26" i="38" s="1"/>
  <c r="F26" i="38" s="1"/>
  <c r="F14" i="30"/>
  <c r="D20" i="30" s="1"/>
  <c r="F20" i="30" s="1"/>
  <c r="H20" i="30" s="1"/>
  <c r="F14" i="29"/>
  <c r="D18" i="29" s="1"/>
  <c r="B3" i="23"/>
  <c r="B3" i="3"/>
  <c r="H42" i="43" l="1"/>
  <c r="K42" i="43" s="1"/>
  <c r="D20" i="29"/>
  <c r="F20" i="29" s="1"/>
  <c r="D24" i="43"/>
  <c r="H57" i="43"/>
  <c r="D26" i="29"/>
  <c r="F26" i="29" s="1"/>
  <c r="H34" i="38"/>
  <c r="K34" i="38" s="1"/>
  <c r="F18" i="29"/>
  <c r="D24" i="29"/>
  <c r="F24" i="29" s="1"/>
  <c r="H34" i="43"/>
  <c r="K34" i="43" s="1"/>
  <c r="D22" i="30"/>
  <c r="F22" i="30" s="1"/>
  <c r="H22" i="30" s="1"/>
  <c r="D26" i="30"/>
  <c r="F26" i="30" s="1"/>
  <c r="H26" i="30" s="1"/>
  <c r="D22" i="29"/>
  <c r="H42" i="38"/>
  <c r="K42" i="38" s="1"/>
  <c r="H57" i="38"/>
  <c r="H22" i="38"/>
  <c r="H42" i="30"/>
  <c r="K42" i="30" s="1"/>
  <c r="H57" i="30"/>
  <c r="H34" i="29"/>
  <c r="K34" i="29" s="1"/>
  <c r="H42" i="29"/>
  <c r="K42" i="29" s="1"/>
  <c r="H57" i="29"/>
  <c r="D18" i="43"/>
  <c r="D22" i="43"/>
  <c r="D20" i="43"/>
  <c r="D26" i="43"/>
  <c r="D18" i="30"/>
  <c r="D24" i="30"/>
  <c r="H26" i="38"/>
  <c r="H34" i="30"/>
  <c r="K34" i="30" s="1"/>
  <c r="K61" i="29"/>
  <c r="H61" i="30"/>
  <c r="K61" i="43" a="1"/>
  <c r="K61" i="30"/>
  <c r="H61" i="38"/>
  <c r="H61" i="43"/>
  <c r="K61" i="38"/>
  <c r="H61" i="29"/>
  <c r="O39" i="70" l="1"/>
  <c r="O40" i="70"/>
  <c r="O41" i="70"/>
  <c r="O42" i="70"/>
  <c r="O43" i="70"/>
  <c r="O44" i="70"/>
  <c r="O38" i="70"/>
  <c r="O106" i="62"/>
  <c r="O122" i="62"/>
  <c r="O138" i="62"/>
  <c r="O154" i="62"/>
  <c r="O124" i="62"/>
  <c r="O125" i="62"/>
  <c r="O111" i="62"/>
  <c r="O112" i="62"/>
  <c r="O113" i="62"/>
  <c r="O145" i="62"/>
  <c r="O130" i="62"/>
  <c r="O131" i="62"/>
  <c r="O116" i="62"/>
  <c r="O150" i="62"/>
  <c r="O151" i="62"/>
  <c r="O107" i="62"/>
  <c r="O123" i="62"/>
  <c r="O139" i="62"/>
  <c r="O155" i="62"/>
  <c r="O140" i="62"/>
  <c r="O156" i="62"/>
  <c r="O126" i="62"/>
  <c r="O127" i="62"/>
  <c r="O128" i="62"/>
  <c r="O129" i="62"/>
  <c r="O114" i="62"/>
  <c r="O146" i="62"/>
  <c r="O147" i="62"/>
  <c r="O132" i="62"/>
  <c r="O148" i="62"/>
  <c r="O149" i="62"/>
  <c r="O118" i="62"/>
  <c r="O135" i="62"/>
  <c r="O137" i="62"/>
  <c r="O108" i="62"/>
  <c r="O119" i="62"/>
  <c r="O121" i="62"/>
  <c r="O109" i="62"/>
  <c r="O115" i="62"/>
  <c r="O117" i="62"/>
  <c r="O134" i="62"/>
  <c r="O120" i="62"/>
  <c r="O152" i="62"/>
  <c r="O110" i="62"/>
  <c r="O136" i="62"/>
  <c r="O105" i="62"/>
  <c r="O33" i="70"/>
  <c r="O27" i="70"/>
  <c r="O37" i="70"/>
  <c r="O31" i="70"/>
  <c r="O25" i="70"/>
  <c r="O36" i="70"/>
  <c r="O23" i="70"/>
  <c r="O35" i="70"/>
  <c r="O34" i="70"/>
  <c r="O32" i="70"/>
  <c r="O30" i="70"/>
  <c r="O29" i="70"/>
  <c r="O28" i="70"/>
  <c r="O26" i="70"/>
  <c r="O24" i="70"/>
  <c r="O22" i="70"/>
  <c r="P7" i="38"/>
  <c r="O7" i="38"/>
  <c r="N7" i="38"/>
  <c r="M7" i="38"/>
  <c r="O36" i="69"/>
  <c r="O22" i="69"/>
  <c r="Q22" i="69" s="1"/>
  <c r="O24" i="69"/>
  <c r="Q24" i="69" s="1"/>
  <c r="S24" i="69" s="1"/>
  <c r="O27" i="69"/>
  <c r="Q27" i="69" s="1"/>
  <c r="S27" i="69" s="1"/>
  <c r="O29" i="69"/>
  <c r="Q29" i="69" s="1"/>
  <c r="S29" i="69" s="1"/>
  <c r="O31" i="69"/>
  <c r="Q31" i="69" s="1"/>
  <c r="S31" i="69" s="1"/>
  <c r="O33" i="69"/>
  <c r="Q33" i="69" s="1"/>
  <c r="S33" i="69" s="1"/>
  <c r="O23" i="69"/>
  <c r="Q23" i="69" s="1"/>
  <c r="S23" i="69" s="1"/>
  <c r="O25" i="69"/>
  <c r="Q25" i="69" s="1"/>
  <c r="S25" i="69" s="1"/>
  <c r="O26" i="69"/>
  <c r="Q26" i="69" s="1"/>
  <c r="S26" i="69" s="1"/>
  <c r="O28" i="69"/>
  <c r="Q28" i="69" s="1"/>
  <c r="S28" i="69" s="1"/>
  <c r="O30" i="69"/>
  <c r="Q30" i="69" s="1"/>
  <c r="S30" i="69" s="1"/>
  <c r="O32" i="69"/>
  <c r="Q32" i="69" s="1"/>
  <c r="S32" i="69" s="1"/>
  <c r="O34" i="69"/>
  <c r="Q34" i="69" s="1"/>
  <c r="S34" i="69" s="1"/>
  <c r="O30" i="68"/>
  <c r="O29" i="68"/>
  <c r="O28" i="68"/>
  <c r="O27" i="68"/>
  <c r="O26" i="68"/>
  <c r="O25" i="68"/>
  <c r="O24" i="68"/>
  <c r="O23" i="68"/>
  <c r="O22" i="68"/>
  <c r="O102" i="67"/>
  <c r="O101" i="67"/>
  <c r="O100" i="67"/>
  <c r="O99" i="67"/>
  <c r="O98" i="67"/>
  <c r="O97" i="67"/>
  <c r="O96" i="67"/>
  <c r="O95" i="67"/>
  <c r="O94" i="67"/>
  <c r="O93" i="67"/>
  <c r="O92" i="67"/>
  <c r="O91" i="67"/>
  <c r="O90" i="67"/>
  <c r="O89" i="67"/>
  <c r="O88" i="67"/>
  <c r="O87" i="67"/>
  <c r="O86" i="67"/>
  <c r="O85" i="67"/>
  <c r="O84" i="67"/>
  <c r="O83" i="67"/>
  <c r="O82" i="67"/>
  <c r="O81" i="67"/>
  <c r="O80" i="67"/>
  <c r="O79" i="67"/>
  <c r="O78" i="67"/>
  <c r="O77" i="67"/>
  <c r="O76" i="67"/>
  <c r="O75" i="67"/>
  <c r="O74" i="67"/>
  <c r="O73" i="67"/>
  <c r="O72" i="67"/>
  <c r="O71" i="67"/>
  <c r="O70" i="67"/>
  <c r="O69" i="67"/>
  <c r="O68" i="67"/>
  <c r="O67" i="67"/>
  <c r="O66" i="67"/>
  <c r="O65" i="67"/>
  <c r="O64" i="67"/>
  <c r="O63" i="67"/>
  <c r="O62" i="67"/>
  <c r="O61" i="67"/>
  <c r="O60" i="67"/>
  <c r="O59" i="67"/>
  <c r="O58" i="67"/>
  <c r="O57" i="67"/>
  <c r="O56" i="67"/>
  <c r="O55" i="67"/>
  <c r="O54" i="67"/>
  <c r="O53" i="67"/>
  <c r="O52" i="67"/>
  <c r="O51" i="67"/>
  <c r="O50" i="67"/>
  <c r="O49" i="67"/>
  <c r="O48" i="67"/>
  <c r="O47" i="67"/>
  <c r="O46" i="67"/>
  <c r="O45" i="67"/>
  <c r="O44" i="67"/>
  <c r="O43" i="67"/>
  <c r="O42" i="67"/>
  <c r="O41" i="67"/>
  <c r="O40" i="67"/>
  <c r="O39" i="67"/>
  <c r="O38" i="67"/>
  <c r="O37" i="67"/>
  <c r="O36" i="67"/>
  <c r="O35" i="67"/>
  <c r="O34" i="67"/>
  <c r="O33" i="67"/>
  <c r="O32" i="67"/>
  <c r="O31" i="67"/>
  <c r="O30" i="67"/>
  <c r="O29" i="67"/>
  <c r="O28" i="67"/>
  <c r="O27" i="67"/>
  <c r="O26" i="67"/>
  <c r="O25" i="67"/>
  <c r="O24" i="67"/>
  <c r="O23" i="67"/>
  <c r="O22" i="67"/>
  <c r="O36" i="66"/>
  <c r="O35" i="66"/>
  <c r="O34" i="66"/>
  <c r="O33" i="66"/>
  <c r="O32" i="66"/>
  <c r="O31" i="66"/>
  <c r="O30" i="66"/>
  <c r="O29" i="66"/>
  <c r="O28" i="66"/>
  <c r="O27" i="66"/>
  <c r="O26" i="66"/>
  <c r="O25" i="66"/>
  <c r="O24" i="66"/>
  <c r="O23" i="66"/>
  <c r="O22" i="66"/>
  <c r="K6" i="22"/>
  <c r="K5" i="22"/>
  <c r="O103" i="65"/>
  <c r="O102" i="65"/>
  <c r="O101" i="65"/>
  <c r="O100" i="65"/>
  <c r="O99" i="65"/>
  <c r="O98" i="65"/>
  <c r="O97" i="65"/>
  <c r="O96" i="65"/>
  <c r="O95" i="65"/>
  <c r="O94" i="65"/>
  <c r="O93" i="65"/>
  <c r="O92" i="65"/>
  <c r="O91" i="65"/>
  <c r="O90" i="65"/>
  <c r="O89" i="65"/>
  <c r="O88" i="65"/>
  <c r="O87" i="65"/>
  <c r="O86" i="65"/>
  <c r="O85" i="65"/>
  <c r="O84" i="65"/>
  <c r="O83" i="65"/>
  <c r="O82" i="65"/>
  <c r="O81" i="65"/>
  <c r="O80" i="65"/>
  <c r="O79" i="65"/>
  <c r="O78" i="65"/>
  <c r="O77" i="65"/>
  <c r="O76" i="65"/>
  <c r="O75" i="65"/>
  <c r="O74" i="65"/>
  <c r="O73" i="65"/>
  <c r="O72" i="65"/>
  <c r="O71" i="65"/>
  <c r="O70" i="65"/>
  <c r="O69" i="65"/>
  <c r="O68" i="65"/>
  <c r="O67" i="65"/>
  <c r="O66" i="65"/>
  <c r="O65" i="65"/>
  <c r="O64" i="65"/>
  <c r="O63" i="65"/>
  <c r="O62" i="65"/>
  <c r="O61" i="65"/>
  <c r="O60" i="65"/>
  <c r="O59" i="65"/>
  <c r="O58" i="65"/>
  <c r="O57" i="65"/>
  <c r="O56" i="65"/>
  <c r="O55" i="65"/>
  <c r="O54" i="65"/>
  <c r="O53" i="65"/>
  <c r="O52" i="65"/>
  <c r="O51" i="65"/>
  <c r="O50" i="65"/>
  <c r="O49" i="65"/>
  <c r="O48" i="65"/>
  <c r="O47" i="65"/>
  <c r="O46" i="65"/>
  <c r="O45" i="65"/>
  <c r="O44" i="65"/>
  <c r="O43" i="65"/>
  <c r="O42" i="65"/>
  <c r="O41" i="65"/>
  <c r="O40" i="65"/>
  <c r="O39" i="65"/>
  <c r="O38" i="65"/>
  <c r="O37" i="65"/>
  <c r="O36" i="65"/>
  <c r="O35" i="65"/>
  <c r="O34" i="65"/>
  <c r="O33" i="65"/>
  <c r="O32" i="65"/>
  <c r="O31" i="65"/>
  <c r="O30" i="65"/>
  <c r="O29" i="65"/>
  <c r="O28" i="65"/>
  <c r="O27" i="65"/>
  <c r="O26" i="65"/>
  <c r="O25" i="65"/>
  <c r="O24" i="65"/>
  <c r="O23" i="65"/>
  <c r="O22" i="65"/>
  <c r="O131" i="64"/>
  <c r="O130" i="64"/>
  <c r="O129" i="64"/>
  <c r="O128" i="64"/>
  <c r="O127" i="64"/>
  <c r="O126" i="64"/>
  <c r="O125" i="64"/>
  <c r="O124" i="64"/>
  <c r="O123" i="64"/>
  <c r="O122" i="64"/>
  <c r="O121" i="64"/>
  <c r="O120" i="64"/>
  <c r="O119" i="64"/>
  <c r="O118" i="64"/>
  <c r="O117" i="64"/>
  <c r="O116" i="64"/>
  <c r="O115" i="64"/>
  <c r="O114" i="64"/>
  <c r="O113" i="64"/>
  <c r="O112" i="64"/>
  <c r="O111" i="64"/>
  <c r="O110" i="64"/>
  <c r="O109" i="64"/>
  <c r="O108" i="64"/>
  <c r="O107" i="64"/>
  <c r="O106" i="64"/>
  <c r="O105" i="64"/>
  <c r="O104" i="64"/>
  <c r="O103" i="64"/>
  <c r="O102" i="64"/>
  <c r="O101" i="64"/>
  <c r="O100" i="64"/>
  <c r="O99" i="64"/>
  <c r="O98" i="64"/>
  <c r="O97" i="64"/>
  <c r="O96" i="64"/>
  <c r="O95" i="64"/>
  <c r="O94" i="64"/>
  <c r="O93" i="64"/>
  <c r="O92" i="64"/>
  <c r="O91" i="64"/>
  <c r="O90" i="64"/>
  <c r="O89" i="64"/>
  <c r="O88" i="64"/>
  <c r="O87" i="64"/>
  <c r="O86" i="64"/>
  <c r="O85" i="64"/>
  <c r="O84" i="64"/>
  <c r="O83" i="64"/>
  <c r="O82" i="64"/>
  <c r="O81" i="64"/>
  <c r="O80" i="64"/>
  <c r="O79" i="64"/>
  <c r="O78" i="64"/>
  <c r="O77" i="64"/>
  <c r="O76" i="64"/>
  <c r="O75" i="64"/>
  <c r="O74" i="64"/>
  <c r="O73" i="64"/>
  <c r="O72" i="64"/>
  <c r="O71" i="64"/>
  <c r="O70" i="64"/>
  <c r="O69" i="64"/>
  <c r="O68" i="64"/>
  <c r="O67" i="64"/>
  <c r="O66" i="64"/>
  <c r="O65" i="64"/>
  <c r="O64" i="64"/>
  <c r="O63" i="64"/>
  <c r="O62" i="64"/>
  <c r="O61" i="64"/>
  <c r="O60" i="64"/>
  <c r="O59" i="64"/>
  <c r="O58" i="64"/>
  <c r="O57" i="64"/>
  <c r="O56" i="64"/>
  <c r="O55" i="64"/>
  <c r="O54" i="64"/>
  <c r="O53" i="64"/>
  <c r="O52" i="64"/>
  <c r="O51" i="64"/>
  <c r="O50" i="64"/>
  <c r="O49" i="64"/>
  <c r="O48" i="64"/>
  <c r="O47" i="64"/>
  <c r="O46" i="64"/>
  <c r="O45" i="64"/>
  <c r="O44" i="64"/>
  <c r="O43" i="64"/>
  <c r="O42" i="64"/>
  <c r="O41" i="64"/>
  <c r="O40" i="64"/>
  <c r="O39" i="64"/>
  <c r="O38" i="64"/>
  <c r="O37" i="64"/>
  <c r="O36" i="64"/>
  <c r="O35" i="64"/>
  <c r="O34" i="64"/>
  <c r="O33" i="64"/>
  <c r="O32" i="64"/>
  <c r="O31" i="64"/>
  <c r="O30" i="64"/>
  <c r="O29" i="64"/>
  <c r="O28" i="64"/>
  <c r="O27" i="64"/>
  <c r="O26" i="64"/>
  <c r="O25" i="64"/>
  <c r="O24" i="64"/>
  <c r="O23" i="64"/>
  <c r="O22" i="64"/>
  <c r="O120" i="63"/>
  <c r="O119" i="63"/>
  <c r="O118" i="63"/>
  <c r="O117" i="63"/>
  <c r="O116" i="63"/>
  <c r="O115" i="63"/>
  <c r="O114" i="63"/>
  <c r="O113" i="63"/>
  <c r="O112" i="63"/>
  <c r="O111" i="63"/>
  <c r="O110" i="63"/>
  <c r="O109" i="63"/>
  <c r="O108" i="63"/>
  <c r="O107" i="63"/>
  <c r="O106" i="63"/>
  <c r="O105" i="63"/>
  <c r="O104" i="63"/>
  <c r="O103" i="63"/>
  <c r="O102" i="63"/>
  <c r="O101" i="63"/>
  <c r="O100" i="63"/>
  <c r="O99" i="63"/>
  <c r="O98" i="63"/>
  <c r="O97" i="63"/>
  <c r="O96" i="63"/>
  <c r="O95" i="63"/>
  <c r="O94" i="63"/>
  <c r="O93" i="63"/>
  <c r="O92" i="63"/>
  <c r="O91" i="63"/>
  <c r="O90" i="63"/>
  <c r="O89" i="63"/>
  <c r="O88" i="63"/>
  <c r="O87" i="63"/>
  <c r="O86" i="63"/>
  <c r="O85" i="63"/>
  <c r="O84" i="63"/>
  <c r="O83" i="63"/>
  <c r="O75" i="63"/>
  <c r="O74" i="63"/>
  <c r="O73" i="63"/>
  <c r="O72" i="63"/>
  <c r="O71" i="63"/>
  <c r="O70" i="63"/>
  <c r="O69" i="63"/>
  <c r="O68" i="63"/>
  <c r="O67" i="63"/>
  <c r="O66" i="63"/>
  <c r="O65" i="63"/>
  <c r="O64" i="63"/>
  <c r="O63" i="63"/>
  <c r="O62" i="63"/>
  <c r="O61" i="63"/>
  <c r="O60" i="63"/>
  <c r="O59" i="63"/>
  <c r="O58" i="63"/>
  <c r="O57" i="63"/>
  <c r="O56" i="63"/>
  <c r="O55" i="63"/>
  <c r="O54" i="63"/>
  <c r="O53" i="63"/>
  <c r="O52" i="63"/>
  <c r="O51" i="63"/>
  <c r="O50" i="63"/>
  <c r="O49" i="63"/>
  <c r="O48" i="63"/>
  <c r="O47" i="63"/>
  <c r="O46" i="63"/>
  <c r="O45" i="63"/>
  <c r="O44" i="63"/>
  <c r="O43" i="63"/>
  <c r="O42" i="63"/>
  <c r="O41" i="63"/>
  <c r="O40" i="63"/>
  <c r="O39" i="63"/>
  <c r="O38" i="63"/>
  <c r="O37" i="63"/>
  <c r="O36" i="63"/>
  <c r="O35" i="63"/>
  <c r="O34" i="63"/>
  <c r="O33" i="63"/>
  <c r="O32" i="63"/>
  <c r="O31" i="63"/>
  <c r="O30" i="63"/>
  <c r="O25" i="63"/>
  <c r="O24" i="63"/>
  <c r="O23" i="63"/>
  <c r="O22" i="63"/>
  <c r="O104" i="62"/>
  <c r="O103" i="62"/>
  <c r="O102" i="62"/>
  <c r="O101" i="62"/>
  <c r="O100" i="62"/>
  <c r="O99" i="62"/>
  <c r="O98" i="62"/>
  <c r="O97" i="62"/>
  <c r="O96" i="62"/>
  <c r="O95" i="62"/>
  <c r="O94" i="62"/>
  <c r="O93" i="62"/>
  <c r="O92" i="62"/>
  <c r="O91" i="62"/>
  <c r="O90" i="62"/>
  <c r="O89" i="62"/>
  <c r="O88" i="62"/>
  <c r="O87" i="62"/>
  <c r="O86" i="62"/>
  <c r="O85" i="62"/>
  <c r="O84" i="62"/>
  <c r="O83" i="62"/>
  <c r="O82" i="62"/>
  <c r="O81" i="62"/>
  <c r="O80" i="62"/>
  <c r="O79" i="62"/>
  <c r="O78" i="62"/>
  <c r="O77" i="62"/>
  <c r="O76" i="62"/>
  <c r="O75" i="62"/>
  <c r="O74" i="62"/>
  <c r="O73" i="62"/>
  <c r="O72" i="62"/>
  <c r="O71" i="62"/>
  <c r="O70" i="62"/>
  <c r="O69" i="62"/>
  <c r="O68" i="62"/>
  <c r="O67" i="62"/>
  <c r="O66" i="62"/>
  <c r="O65" i="62"/>
  <c r="O64" i="62"/>
  <c r="O63" i="62"/>
  <c r="O62" i="62"/>
  <c r="O61" i="62"/>
  <c r="O60" i="62"/>
  <c r="O59" i="62"/>
  <c r="O58" i="62"/>
  <c r="O57" i="62"/>
  <c r="O56" i="62"/>
  <c r="O55" i="62"/>
  <c r="O54" i="62"/>
  <c r="O53" i="62"/>
  <c r="O52" i="62"/>
  <c r="O51" i="62"/>
  <c r="O50" i="62"/>
  <c r="O49" i="62"/>
  <c r="O48" i="62"/>
  <c r="O47" i="62"/>
  <c r="O46" i="62"/>
  <c r="O45" i="62"/>
  <c r="O44" i="62"/>
  <c r="O43" i="62"/>
  <c r="O42" i="62"/>
  <c r="O41" i="62"/>
  <c r="O40" i="62"/>
  <c r="O39" i="62"/>
  <c r="O38" i="62"/>
  <c r="O37" i="62"/>
  <c r="O36" i="62"/>
  <c r="O35" i="62"/>
  <c r="O34" i="62"/>
  <c r="O33" i="62"/>
  <c r="O32" i="62"/>
  <c r="O31" i="62"/>
  <c r="O30" i="62"/>
  <c r="O29" i="62"/>
  <c r="O28" i="62"/>
  <c r="O27" i="62"/>
  <c r="O26" i="62"/>
  <c r="O25" i="62"/>
  <c r="O24" i="62"/>
  <c r="O23" i="62"/>
  <c r="O22" i="62"/>
  <c r="K17" i="43"/>
  <c r="K17" i="30"/>
  <c r="K17" i="29"/>
  <c r="K17" i="38"/>
  <c r="K19" i="38"/>
  <c r="H18" i="29"/>
  <c r="F61" i="43"/>
  <c r="F62" i="43" s="1"/>
  <c r="K62" i="43" s="1"/>
  <c r="F61" i="30"/>
  <c r="F62" i="30" s="1"/>
  <c r="K62" i="30" s="1"/>
  <c r="F61" i="29"/>
  <c r="F62" i="29" s="1"/>
  <c r="K62" i="29" s="1"/>
  <c r="F61" i="38"/>
  <c r="F62" i="38" s="1"/>
  <c r="K5" i="43"/>
  <c r="K5" i="30"/>
  <c r="K5" i="29"/>
  <c r="K5" i="38"/>
  <c r="K28" i="43"/>
  <c r="K23" i="43"/>
  <c r="K21" i="43"/>
  <c r="K19" i="43"/>
  <c r="K28" i="30"/>
  <c r="K23" i="30"/>
  <c r="K21" i="30"/>
  <c r="K19" i="30"/>
  <c r="K28" i="29"/>
  <c r="K23" i="29"/>
  <c r="K21" i="29"/>
  <c r="K19" i="29"/>
  <c r="K28" i="38"/>
  <c r="K23" i="38"/>
  <c r="K21" i="38"/>
  <c r="H26" i="29"/>
  <c r="K61" i="43"/>
  <c r="H20" i="29"/>
  <c r="A1" i="43"/>
  <c r="A1" i="30"/>
  <c r="A1" i="29"/>
  <c r="A1" i="38"/>
  <c r="F24" i="43"/>
  <c r="H24" i="43" s="1"/>
  <c r="H59" i="43"/>
  <c r="K57" i="43"/>
  <c r="F22" i="29"/>
  <c r="H22" i="29" s="1"/>
  <c r="H24" i="38"/>
  <c r="H59" i="30"/>
  <c r="H60" i="30" s="1"/>
  <c r="K57" i="30"/>
  <c r="H59" i="38"/>
  <c r="H60" i="38" s="1"/>
  <c r="K57" i="38"/>
  <c r="H29" i="29"/>
  <c r="K29" i="29" s="1"/>
  <c r="O7" i="43"/>
  <c r="O25" i="43" s="1"/>
  <c r="O27" i="43" s="1"/>
  <c r="O38" i="69" s="1"/>
  <c r="M7" i="43"/>
  <c r="M25" i="43" s="1"/>
  <c r="N7" i="43"/>
  <c r="N25" i="43" s="1"/>
  <c r="N27" i="43" s="1"/>
  <c r="P7" i="43"/>
  <c r="P25" i="43" s="1"/>
  <c r="P27" i="43" s="1"/>
  <c r="O39" i="69" s="1"/>
  <c r="F29" i="38"/>
  <c r="H29" i="38"/>
  <c r="K29" i="38" s="1"/>
  <c r="F18" i="30"/>
  <c r="H29" i="30"/>
  <c r="K29" i="30" s="1"/>
  <c r="H29" i="43"/>
  <c r="K29" i="43" s="1"/>
  <c r="F18" i="43"/>
  <c r="F24" i="30"/>
  <c r="H24" i="30" s="1"/>
  <c r="F22" i="43"/>
  <c r="H22" i="43" s="1"/>
  <c r="F26" i="43"/>
  <c r="H26" i="43" s="1"/>
  <c r="H59" i="29"/>
  <c r="H60" i="29" s="1"/>
  <c r="K57" i="29"/>
  <c r="F20" i="43"/>
  <c r="H20" i="43" s="1"/>
  <c r="H24" i="29"/>
  <c r="Q26" i="70" l="1"/>
  <c r="S26" i="70" s="1"/>
  <c r="T26" i="70"/>
  <c r="Q28" i="70"/>
  <c r="S28" i="70" s="1"/>
  <c r="T28" i="70"/>
  <c r="Q38" i="70"/>
  <c r="S38" i="70" s="1"/>
  <c r="T38" i="70"/>
  <c r="Q29" i="70"/>
  <c r="S29" i="70" s="1"/>
  <c r="T29" i="70"/>
  <c r="Q30" i="70"/>
  <c r="S30" i="70" s="1"/>
  <c r="T30" i="70"/>
  <c r="Q32" i="70"/>
  <c r="S32" i="70" s="1"/>
  <c r="T32" i="70"/>
  <c r="Q34" i="70"/>
  <c r="S34" i="70" s="1"/>
  <c r="T34" i="70"/>
  <c r="Q35" i="70"/>
  <c r="S35" i="70" s="1"/>
  <c r="T35" i="70"/>
  <c r="Q23" i="70"/>
  <c r="S23" i="70" s="1"/>
  <c r="T23" i="70"/>
  <c r="Q24" i="70"/>
  <c r="S24" i="70" s="1"/>
  <c r="T24" i="70"/>
  <c r="Q36" i="70"/>
  <c r="S36" i="70" s="1"/>
  <c r="T36" i="70"/>
  <c r="Q25" i="70"/>
  <c r="S25" i="70" s="1"/>
  <c r="T25" i="70"/>
  <c r="Q31" i="70"/>
  <c r="S31" i="70" s="1"/>
  <c r="T31" i="70"/>
  <c r="Q37" i="70"/>
  <c r="S37" i="70" s="1"/>
  <c r="T37" i="70"/>
  <c r="Q27" i="70"/>
  <c r="S27" i="70" s="1"/>
  <c r="T27" i="70"/>
  <c r="Q22" i="70"/>
  <c r="S22" i="70" s="1"/>
  <c r="T22" i="70"/>
  <c r="Q33" i="70"/>
  <c r="S33" i="70" s="1"/>
  <c r="T33" i="70"/>
  <c r="M25" i="38"/>
  <c r="M27" i="38" s="1"/>
  <c r="O153" i="62" s="1"/>
  <c r="M10" i="38"/>
  <c r="M12" i="38" s="1"/>
  <c r="N10" i="38"/>
  <c r="N12" i="38" s="1"/>
  <c r="N25" i="38"/>
  <c r="N27" i="38" s="1"/>
  <c r="O25" i="38"/>
  <c r="O27" i="38" s="1"/>
  <c r="O10" i="38"/>
  <c r="O12" i="38" s="1"/>
  <c r="P25" i="38"/>
  <c r="P27" i="38" s="1"/>
  <c r="P10" i="38"/>
  <c r="P12" i="38" s="1"/>
  <c r="O37" i="69"/>
  <c r="Q75" i="67"/>
  <c r="S75" i="67" s="1"/>
  <c r="T75" i="67"/>
  <c r="Q69" i="67"/>
  <c r="S69" i="67" s="1"/>
  <c r="T69" i="67"/>
  <c r="Q85" i="67"/>
  <c r="S85" i="67" s="1"/>
  <c r="T85" i="67"/>
  <c r="Q86" i="67"/>
  <c r="S86" i="67" s="1"/>
  <c r="T86" i="67"/>
  <c r="Q102" i="67"/>
  <c r="S102" i="67" s="1"/>
  <c r="T102" i="67"/>
  <c r="Q33" i="67"/>
  <c r="S33" i="67" s="1"/>
  <c r="T33" i="67"/>
  <c r="Q45" i="67"/>
  <c r="S45" i="67" s="1"/>
  <c r="T45" i="67"/>
  <c r="Q34" i="67"/>
  <c r="S34" i="67" s="1"/>
  <c r="T34" i="67"/>
  <c r="Q46" i="67"/>
  <c r="S46" i="67" s="1"/>
  <c r="T46" i="67"/>
  <c r="Q35" i="67"/>
  <c r="S35" i="67" s="1"/>
  <c r="T35" i="67"/>
  <c r="Q62" i="67"/>
  <c r="S62" i="67" s="1"/>
  <c r="T62" i="67"/>
  <c r="Q90" i="67"/>
  <c r="S90" i="67" s="1"/>
  <c r="T90" i="67"/>
  <c r="Q50" i="67"/>
  <c r="S50" i="67" s="1"/>
  <c r="T50" i="67"/>
  <c r="Q76" i="67"/>
  <c r="S76" i="67" s="1"/>
  <c r="T76" i="67"/>
  <c r="Q37" i="67"/>
  <c r="S37" i="67" s="1"/>
  <c r="T37" i="67"/>
  <c r="Q38" i="67"/>
  <c r="S38" i="67" s="1"/>
  <c r="T38" i="67"/>
  <c r="Q96" i="67"/>
  <c r="S96" i="67" s="1"/>
  <c r="T96" i="67"/>
  <c r="Q29" i="67"/>
  <c r="S29" i="67" s="1"/>
  <c r="T29" i="67"/>
  <c r="Q66" i="67"/>
  <c r="S66" i="67" s="1"/>
  <c r="T66" i="67"/>
  <c r="Q81" i="67"/>
  <c r="S81" i="67" s="1"/>
  <c r="T81" i="67"/>
  <c r="Q42" i="67"/>
  <c r="S42" i="67" s="1"/>
  <c r="T42" i="67"/>
  <c r="Q84" i="67"/>
  <c r="S84" i="67" s="1"/>
  <c r="T84" i="67"/>
  <c r="Q100" i="67"/>
  <c r="S100" i="67" s="1"/>
  <c r="T100" i="67"/>
  <c r="Q23" i="67"/>
  <c r="S23" i="67" s="1"/>
  <c r="T23" i="67"/>
  <c r="Q24" i="67"/>
  <c r="S24" i="67" s="1"/>
  <c r="T24" i="67"/>
  <c r="Q27" i="67"/>
  <c r="S27" i="67" s="1"/>
  <c r="T27" i="67"/>
  <c r="Q63" i="67"/>
  <c r="S63" i="67" s="1"/>
  <c r="T63" i="67"/>
  <c r="Q30" i="67"/>
  <c r="S30" i="67" s="1"/>
  <c r="T30" i="67"/>
  <c r="Q44" i="67"/>
  <c r="S44" i="67" s="1"/>
  <c r="T44" i="67"/>
  <c r="Q60" i="67"/>
  <c r="S60" i="67" s="1"/>
  <c r="T60" i="67"/>
  <c r="Q47" i="67"/>
  <c r="S47" i="67" s="1"/>
  <c r="T47" i="67"/>
  <c r="Q61" i="67"/>
  <c r="S61" i="67" s="1"/>
  <c r="T61" i="67"/>
  <c r="Q48" i="67"/>
  <c r="S48" i="67" s="1"/>
  <c r="T48" i="67"/>
  <c r="Q49" i="67"/>
  <c r="S49" i="67" s="1"/>
  <c r="T49" i="67"/>
  <c r="Q36" i="67"/>
  <c r="S36" i="67" s="1"/>
  <c r="T36" i="67"/>
  <c r="Q28" i="67"/>
  <c r="S28" i="67" s="1"/>
  <c r="T28" i="67"/>
  <c r="Q95" i="67"/>
  <c r="S95" i="67" s="1"/>
  <c r="T95" i="67"/>
  <c r="Q65" i="67"/>
  <c r="S65" i="67" s="1"/>
  <c r="T65" i="67"/>
  <c r="Q31" i="67"/>
  <c r="S31" i="67" s="1"/>
  <c r="T31" i="67"/>
  <c r="Q57" i="67"/>
  <c r="S57" i="67" s="1"/>
  <c r="T57" i="67"/>
  <c r="Q22" i="67"/>
  <c r="S22" i="67" s="1"/>
  <c r="T22" i="67"/>
  <c r="Q32" i="67"/>
  <c r="S32" i="67" s="1"/>
  <c r="T32" i="67"/>
  <c r="Q58" i="67"/>
  <c r="S58" i="67" s="1"/>
  <c r="T58" i="67"/>
  <c r="Q70" i="67"/>
  <c r="S70" i="67" s="1"/>
  <c r="T70" i="67"/>
  <c r="Q59" i="67"/>
  <c r="S59" i="67" s="1"/>
  <c r="T59" i="67"/>
  <c r="Q71" i="67"/>
  <c r="S71" i="67" s="1"/>
  <c r="T71" i="67"/>
  <c r="Q72" i="67"/>
  <c r="S72" i="67" s="1"/>
  <c r="T72" i="67"/>
  <c r="Q88" i="67"/>
  <c r="S88" i="67" s="1"/>
  <c r="T88" i="67"/>
  <c r="Q25" i="67"/>
  <c r="S25" i="67" s="1"/>
  <c r="T25" i="67"/>
  <c r="Q73" i="67"/>
  <c r="S73" i="67" s="1"/>
  <c r="T73" i="67"/>
  <c r="Q89" i="67"/>
  <c r="S89" i="67" s="1"/>
  <c r="T89" i="67"/>
  <c r="Q26" i="67"/>
  <c r="S26" i="67" s="1"/>
  <c r="T26" i="67"/>
  <c r="Q74" i="67"/>
  <c r="S74" i="67" s="1"/>
  <c r="T74" i="67"/>
  <c r="Q92" i="67"/>
  <c r="S92" i="67" s="1"/>
  <c r="T92" i="67"/>
  <c r="Q64" i="67"/>
  <c r="S64" i="67" s="1"/>
  <c r="T64" i="67"/>
  <c r="Q93" i="67"/>
  <c r="S93" i="67" s="1"/>
  <c r="T93" i="67"/>
  <c r="Q94" i="67"/>
  <c r="S94" i="67" s="1"/>
  <c r="T94" i="67"/>
  <c r="Q101" i="67"/>
  <c r="S101" i="67" s="1"/>
  <c r="T101" i="67"/>
  <c r="Q77" i="67"/>
  <c r="S77" i="67" s="1"/>
  <c r="T77" i="67"/>
  <c r="Q78" i="67"/>
  <c r="S78" i="67" s="1"/>
  <c r="T78" i="67"/>
  <c r="Q39" i="67"/>
  <c r="S39" i="67" s="1"/>
  <c r="T39" i="67"/>
  <c r="Q51" i="67"/>
  <c r="S51" i="67" s="1"/>
  <c r="T51" i="67"/>
  <c r="Q79" i="67"/>
  <c r="S79" i="67" s="1"/>
  <c r="T79" i="67"/>
  <c r="Q40" i="67"/>
  <c r="S40" i="67" s="1"/>
  <c r="T40" i="67"/>
  <c r="Q80" i="67"/>
  <c r="S80" i="67" s="1"/>
  <c r="T80" i="67"/>
  <c r="Q41" i="67"/>
  <c r="S41" i="67" s="1"/>
  <c r="T41" i="67"/>
  <c r="Q53" i="67"/>
  <c r="S53" i="67" s="1"/>
  <c r="T53" i="67"/>
  <c r="Q97" i="67"/>
  <c r="S97" i="67" s="1"/>
  <c r="T97" i="67"/>
  <c r="Q54" i="67"/>
  <c r="S54" i="67" s="1"/>
  <c r="T54" i="67"/>
  <c r="Q82" i="67"/>
  <c r="S82" i="67" s="1"/>
  <c r="T82" i="67"/>
  <c r="Q98" i="67"/>
  <c r="S98" i="67" s="1"/>
  <c r="T98" i="67"/>
  <c r="Q83" i="67"/>
  <c r="S83" i="67" s="1"/>
  <c r="T83" i="67"/>
  <c r="Q99" i="67"/>
  <c r="S99" i="67" s="1"/>
  <c r="T99" i="67"/>
  <c r="Q91" i="67"/>
  <c r="S91" i="67" s="1"/>
  <c r="T91" i="67"/>
  <c r="Q52" i="67"/>
  <c r="S52" i="67" s="1"/>
  <c r="T52" i="67"/>
  <c r="Q43" i="67"/>
  <c r="S43" i="67" s="1"/>
  <c r="T43" i="67"/>
  <c r="Q55" i="67"/>
  <c r="S55" i="67" s="1"/>
  <c r="T55" i="67"/>
  <c r="Q87" i="67"/>
  <c r="S87" i="67" s="1"/>
  <c r="T87" i="67"/>
  <c r="Q67" i="67"/>
  <c r="S67" i="67" s="1"/>
  <c r="T67" i="67"/>
  <c r="Q56" i="67"/>
  <c r="S56" i="67" s="1"/>
  <c r="T56" i="67"/>
  <c r="Q68" i="67"/>
  <c r="S68" i="67" s="1"/>
  <c r="T68" i="67"/>
  <c r="S77" i="65"/>
  <c r="Q77" i="65"/>
  <c r="R77" i="65" s="1"/>
  <c r="S31" i="65"/>
  <c r="Q31" i="65"/>
  <c r="R31" i="65" s="1"/>
  <c r="S68" i="65"/>
  <c r="Q68" i="65"/>
  <c r="R68" i="65" s="1"/>
  <c r="S83" i="65"/>
  <c r="Q83" i="65"/>
  <c r="R83" i="65" s="1"/>
  <c r="S44" i="65"/>
  <c r="Q44" i="65"/>
  <c r="R44" i="65" s="1"/>
  <c r="S23" i="65"/>
  <c r="Q23" i="65"/>
  <c r="R23" i="65" s="1"/>
  <c r="S71" i="65"/>
  <c r="Q71" i="65"/>
  <c r="R71" i="65" s="1"/>
  <c r="Q87" i="65"/>
  <c r="R87" i="65" s="1"/>
  <c r="S87" i="65"/>
  <c r="S88" i="65"/>
  <c r="Q88" i="65"/>
  <c r="R88" i="65" s="1"/>
  <c r="S103" i="65"/>
  <c r="Q103" i="65"/>
  <c r="R103" i="65" s="1"/>
  <c r="S35" i="65"/>
  <c r="Q35" i="65"/>
  <c r="R35" i="65" s="1"/>
  <c r="S47" i="65"/>
  <c r="Q47" i="65"/>
  <c r="R47" i="65" s="1"/>
  <c r="S101" i="65"/>
  <c r="Q101" i="65"/>
  <c r="R101" i="65" s="1"/>
  <c r="S36" i="65"/>
  <c r="Q36" i="65"/>
  <c r="R36" i="65" s="1"/>
  <c r="S48" i="65"/>
  <c r="Q48" i="65"/>
  <c r="R48" i="65" s="1"/>
  <c r="S37" i="65"/>
  <c r="Q37" i="65"/>
  <c r="R37" i="65" s="1"/>
  <c r="S86" i="65"/>
  <c r="Q86" i="65"/>
  <c r="R86" i="65" s="1"/>
  <c r="S64" i="65"/>
  <c r="Q64" i="65"/>
  <c r="R64" i="65" s="1"/>
  <c r="S92" i="65"/>
  <c r="Q92" i="65"/>
  <c r="R92" i="65" s="1"/>
  <c r="S52" i="65"/>
  <c r="Q52" i="65"/>
  <c r="R52" i="65" s="1"/>
  <c r="S78" i="65"/>
  <c r="Q78" i="65"/>
  <c r="R78" i="65" s="1"/>
  <c r="Q39" i="65"/>
  <c r="R39" i="65" s="1"/>
  <c r="S39" i="65"/>
  <c r="S40" i="65"/>
  <c r="Q40" i="65"/>
  <c r="R40" i="65" s="1"/>
  <c r="S97" i="65"/>
  <c r="Q97" i="65"/>
  <c r="R97" i="65" s="1"/>
  <c r="S25" i="65"/>
  <c r="Q25" i="65"/>
  <c r="R25" i="65" s="1"/>
  <c r="S26" i="65"/>
  <c r="Q26" i="65"/>
  <c r="R26" i="65" s="1"/>
  <c r="S29" i="65"/>
  <c r="Q29" i="65"/>
  <c r="R29" i="65" s="1"/>
  <c r="S65" i="65"/>
  <c r="Q65" i="65"/>
  <c r="R65" i="65" s="1"/>
  <c r="S32" i="65"/>
  <c r="Q32" i="65"/>
  <c r="R32" i="65" s="1"/>
  <c r="S22" i="65"/>
  <c r="Q22" i="65"/>
  <c r="R22" i="65" s="1"/>
  <c r="S46" i="65"/>
  <c r="Q46" i="65"/>
  <c r="R46" i="65" s="1"/>
  <c r="S62" i="65"/>
  <c r="Q62" i="65"/>
  <c r="R62" i="65" s="1"/>
  <c r="S49" i="65"/>
  <c r="Q49" i="65"/>
  <c r="R49" i="65" s="1"/>
  <c r="S63" i="65"/>
  <c r="Q63" i="65"/>
  <c r="R63" i="65" s="1"/>
  <c r="S50" i="65"/>
  <c r="Q50" i="65"/>
  <c r="R50" i="65" s="1"/>
  <c r="S51" i="65"/>
  <c r="Q51" i="65"/>
  <c r="R51" i="65" s="1"/>
  <c r="S38" i="65"/>
  <c r="Q38" i="65"/>
  <c r="R38" i="65" s="1"/>
  <c r="S30" i="65"/>
  <c r="Q30" i="65"/>
  <c r="R30" i="65" s="1"/>
  <c r="S67" i="65"/>
  <c r="Q67" i="65"/>
  <c r="R67" i="65" s="1"/>
  <c r="S33" i="65"/>
  <c r="Q33" i="65"/>
  <c r="R33" i="65" s="1"/>
  <c r="S59" i="65"/>
  <c r="Q59" i="65"/>
  <c r="R59" i="65" s="1"/>
  <c r="S24" i="65"/>
  <c r="Q24" i="65"/>
  <c r="R24" i="65" s="1"/>
  <c r="S34" i="65"/>
  <c r="Q34" i="65"/>
  <c r="R34" i="65" s="1"/>
  <c r="S60" i="65"/>
  <c r="Q60" i="65"/>
  <c r="R60" i="65" s="1"/>
  <c r="S72" i="65"/>
  <c r="Q72" i="65"/>
  <c r="R72" i="65" s="1"/>
  <c r="S61" i="65"/>
  <c r="Q61" i="65"/>
  <c r="R61" i="65" s="1"/>
  <c r="Q73" i="65"/>
  <c r="R73" i="65" s="1"/>
  <c r="S73" i="65"/>
  <c r="S74" i="65"/>
  <c r="Q74" i="65"/>
  <c r="R74" i="65" s="1"/>
  <c r="S90" i="65"/>
  <c r="Q90" i="65"/>
  <c r="R90" i="65" s="1"/>
  <c r="S27" i="65"/>
  <c r="Q27" i="65"/>
  <c r="R27" i="65" s="1"/>
  <c r="Q75" i="65"/>
  <c r="R75" i="65" s="1"/>
  <c r="S75" i="65"/>
  <c r="S91" i="65"/>
  <c r="Q91" i="65"/>
  <c r="R91" i="65" s="1"/>
  <c r="S28" i="65"/>
  <c r="Q28" i="65"/>
  <c r="R28" i="65" s="1"/>
  <c r="S76" i="65"/>
  <c r="Q76" i="65"/>
  <c r="R76" i="65" s="1"/>
  <c r="S94" i="65"/>
  <c r="Q94" i="65"/>
  <c r="R94" i="65" s="1"/>
  <c r="Q66" i="65"/>
  <c r="R66" i="65" s="1"/>
  <c r="S66" i="65"/>
  <c r="S95" i="65"/>
  <c r="Q95" i="65"/>
  <c r="R95" i="65" s="1"/>
  <c r="S96" i="65"/>
  <c r="Q96" i="65"/>
  <c r="R96" i="65" s="1"/>
  <c r="S56" i="65"/>
  <c r="Q56" i="65"/>
  <c r="R56" i="65" s="1"/>
  <c r="Q84" i="65"/>
  <c r="R84" i="65" s="1"/>
  <c r="S84" i="65"/>
  <c r="S99" i="65"/>
  <c r="Q99" i="65"/>
  <c r="R99" i="65" s="1"/>
  <c r="S85" i="65"/>
  <c r="Q85" i="65"/>
  <c r="R85" i="65" s="1"/>
  <c r="S100" i="65"/>
  <c r="Q100" i="65"/>
  <c r="R100" i="65" s="1"/>
  <c r="S43" i="65"/>
  <c r="Q43" i="65"/>
  <c r="R43" i="65" s="1"/>
  <c r="S98" i="65"/>
  <c r="Q98" i="65"/>
  <c r="R98" i="65" s="1"/>
  <c r="S102" i="65"/>
  <c r="Q102" i="65"/>
  <c r="R102" i="65" s="1"/>
  <c r="S79" i="65"/>
  <c r="Q79" i="65"/>
  <c r="R79" i="65" s="1"/>
  <c r="S55" i="65"/>
  <c r="Q55" i="65"/>
  <c r="R55" i="65" s="1"/>
  <c r="S80" i="65"/>
  <c r="Q80" i="65"/>
  <c r="R80" i="65" s="1"/>
  <c r="S41" i="65"/>
  <c r="Q41" i="65"/>
  <c r="R41" i="65" s="1"/>
  <c r="S53" i="65"/>
  <c r="Q53" i="65"/>
  <c r="R53" i="65" s="1"/>
  <c r="S81" i="65"/>
  <c r="Q81" i="65"/>
  <c r="R81" i="65" s="1"/>
  <c r="S42" i="65"/>
  <c r="Q42" i="65"/>
  <c r="R42" i="65" s="1"/>
  <c r="S82" i="65"/>
  <c r="Q82" i="65"/>
  <c r="R82" i="65" s="1"/>
  <c r="S45" i="65"/>
  <c r="Q45" i="65"/>
  <c r="R45" i="65" s="1"/>
  <c r="S57" i="65"/>
  <c r="Q57" i="65"/>
  <c r="R57" i="65" s="1"/>
  <c r="S93" i="65"/>
  <c r="Q93" i="65"/>
  <c r="R93" i="65" s="1"/>
  <c r="S54" i="65"/>
  <c r="Q54" i="65"/>
  <c r="R54" i="65" s="1"/>
  <c r="S69" i="65"/>
  <c r="Q69" i="65"/>
  <c r="R69" i="65" s="1"/>
  <c r="S58" i="65"/>
  <c r="Q58" i="65"/>
  <c r="S70" i="65"/>
  <c r="Q70" i="65"/>
  <c r="R70" i="65" s="1"/>
  <c r="S89" i="65"/>
  <c r="Q89" i="65"/>
  <c r="R89" i="65" s="1"/>
  <c r="Q93" i="63"/>
  <c r="S93" i="63" s="1"/>
  <c r="T93" i="63"/>
  <c r="Q62" i="63"/>
  <c r="S62" i="63" s="1"/>
  <c r="T62" i="63"/>
  <c r="Q94" i="63"/>
  <c r="S94" i="63" s="1"/>
  <c r="T94" i="63"/>
  <c r="Q47" i="63"/>
  <c r="S47" i="63" s="1"/>
  <c r="T47" i="63"/>
  <c r="Q35" i="63"/>
  <c r="S35" i="63" s="1"/>
  <c r="T35" i="63"/>
  <c r="Q114" i="63"/>
  <c r="S114" i="63" s="1"/>
  <c r="T114" i="63"/>
  <c r="Q52" i="63"/>
  <c r="S52" i="63" s="1"/>
  <c r="T52" i="63"/>
  <c r="Q102" i="63"/>
  <c r="S102" i="63" s="1"/>
  <c r="T102" i="63"/>
  <c r="Q118" i="63"/>
  <c r="S118" i="63" s="1"/>
  <c r="T118" i="63"/>
  <c r="Q83" i="63"/>
  <c r="S83" i="63" s="1"/>
  <c r="T83" i="63"/>
  <c r="Q23" i="63"/>
  <c r="S23" i="63" s="1"/>
  <c r="T23" i="63"/>
  <c r="Q87" i="63"/>
  <c r="S87" i="63" s="1"/>
  <c r="T87" i="63"/>
  <c r="Q103" i="63"/>
  <c r="S103" i="63" s="1"/>
  <c r="T103" i="63"/>
  <c r="Q104" i="63"/>
  <c r="S104" i="63" s="1"/>
  <c r="T104" i="63"/>
  <c r="Q120" i="63"/>
  <c r="S120" i="63" s="1"/>
  <c r="T120" i="63"/>
  <c r="Q48" i="63"/>
  <c r="S48" i="63" s="1"/>
  <c r="T48" i="63"/>
  <c r="Q41" i="63"/>
  <c r="S41" i="63" s="1"/>
  <c r="T41" i="63"/>
  <c r="Q57" i="63"/>
  <c r="S57" i="63" s="1"/>
  <c r="T57" i="63"/>
  <c r="Q42" i="63"/>
  <c r="S42" i="63" s="1"/>
  <c r="T42" i="63"/>
  <c r="Q58" i="63"/>
  <c r="S58" i="63" s="1"/>
  <c r="T58" i="63"/>
  <c r="Q43" i="63"/>
  <c r="S43" i="63" s="1"/>
  <c r="T43" i="63"/>
  <c r="Q99" i="63"/>
  <c r="S99" i="63" s="1"/>
  <c r="T99" i="63"/>
  <c r="T76" i="63"/>
  <c r="Q108" i="63"/>
  <c r="S108" i="63" s="1"/>
  <c r="T108" i="63"/>
  <c r="T29" i="63"/>
  <c r="T77" i="63"/>
  <c r="Q38" i="63"/>
  <c r="S38" i="63" s="1"/>
  <c r="T38" i="63"/>
  <c r="Q25" i="63"/>
  <c r="S25" i="63" s="1"/>
  <c r="T25" i="63"/>
  <c r="T26" i="63"/>
  <c r="Q61" i="63"/>
  <c r="S61" i="63" s="1"/>
  <c r="T61" i="63"/>
  <c r="Q46" i="63"/>
  <c r="S46" i="63" s="1"/>
  <c r="T46" i="63"/>
  <c r="Q22" i="63"/>
  <c r="S22" i="63" s="1"/>
  <c r="T22" i="63"/>
  <c r="Q34" i="63"/>
  <c r="S34" i="63" s="1"/>
  <c r="T34" i="63"/>
  <c r="Q55" i="63"/>
  <c r="S55" i="63" s="1"/>
  <c r="T55" i="63"/>
  <c r="Q74" i="63"/>
  <c r="S74" i="63" s="1"/>
  <c r="T74" i="63"/>
  <c r="Q59" i="63"/>
  <c r="S59" i="63" s="1"/>
  <c r="T59" i="63"/>
  <c r="Q75" i="63"/>
  <c r="S75" i="63" s="1"/>
  <c r="T75" i="63"/>
  <c r="Q60" i="63"/>
  <c r="S60" i="63" s="1"/>
  <c r="T60" i="63"/>
  <c r="T81" i="63"/>
  <c r="Q113" i="63"/>
  <c r="S113" i="63" s="1"/>
  <c r="T113" i="63"/>
  <c r="Q56" i="63"/>
  <c r="S56" i="63" s="1"/>
  <c r="T56" i="63"/>
  <c r="T80" i="63"/>
  <c r="T82" i="63"/>
  <c r="Q110" i="63"/>
  <c r="S110" i="63" s="1"/>
  <c r="T110" i="63"/>
  <c r="Q111" i="63"/>
  <c r="S111" i="63" s="1"/>
  <c r="T111" i="63"/>
  <c r="Q112" i="63"/>
  <c r="S112" i="63" s="1"/>
  <c r="T112" i="63"/>
  <c r="T79" i="63"/>
  <c r="Q39" i="63"/>
  <c r="S39" i="63" s="1"/>
  <c r="T39" i="63"/>
  <c r="Q71" i="63"/>
  <c r="S71" i="63" s="1"/>
  <c r="T71" i="63"/>
  <c r="Q24" i="63"/>
  <c r="S24" i="63" s="1"/>
  <c r="T24" i="63"/>
  <c r="Q40" i="63"/>
  <c r="S40" i="63" s="1"/>
  <c r="T40" i="63"/>
  <c r="Q72" i="63"/>
  <c r="S72" i="63" s="1"/>
  <c r="T72" i="63"/>
  <c r="Q88" i="63"/>
  <c r="S88" i="63" s="1"/>
  <c r="T88" i="63"/>
  <c r="Q73" i="63"/>
  <c r="S73" i="63" s="1"/>
  <c r="T73" i="63"/>
  <c r="Q89" i="63"/>
  <c r="S89" i="63" s="1"/>
  <c r="T89" i="63"/>
  <c r="Q90" i="63"/>
  <c r="S90" i="63" s="1"/>
  <c r="T90" i="63"/>
  <c r="Q106" i="63"/>
  <c r="S106" i="63" s="1"/>
  <c r="T106" i="63"/>
  <c r="T27" i="63"/>
  <c r="Q91" i="63"/>
  <c r="S91" i="63" s="1"/>
  <c r="T91" i="63"/>
  <c r="Q107" i="63"/>
  <c r="S107" i="63" s="1"/>
  <c r="T107" i="63"/>
  <c r="T28" i="63"/>
  <c r="Q92" i="63"/>
  <c r="S92" i="63" s="1"/>
  <c r="T92" i="63"/>
  <c r="Q49" i="63"/>
  <c r="S49" i="63" s="1"/>
  <c r="T49" i="63"/>
  <c r="Q65" i="63"/>
  <c r="S65" i="63" s="1"/>
  <c r="T65" i="63"/>
  <c r="Q97" i="63"/>
  <c r="S97" i="63" s="1"/>
  <c r="T97" i="63"/>
  <c r="Q50" i="63"/>
  <c r="S50" i="63" s="1"/>
  <c r="T50" i="63"/>
  <c r="Q98" i="63"/>
  <c r="S98" i="63" s="1"/>
  <c r="T98" i="63"/>
  <c r="Q95" i="63"/>
  <c r="S95" i="63" s="1"/>
  <c r="T95" i="63"/>
  <c r="Q51" i="63"/>
  <c r="S51" i="63" s="1"/>
  <c r="T51" i="63"/>
  <c r="Q67" i="63"/>
  <c r="S67" i="63" s="1"/>
  <c r="T67" i="63"/>
  <c r="Q115" i="63"/>
  <c r="S115" i="63" s="1"/>
  <c r="T115" i="63"/>
  <c r="Q116" i="63"/>
  <c r="S116" i="63" s="1"/>
  <c r="T116" i="63"/>
  <c r="Q96" i="63"/>
  <c r="S96" i="63" s="1"/>
  <c r="T96" i="63"/>
  <c r="Q68" i="63"/>
  <c r="S68" i="63" s="1"/>
  <c r="T68" i="63"/>
  <c r="Q101" i="63"/>
  <c r="S101" i="63" s="1"/>
  <c r="T101" i="63"/>
  <c r="Q117" i="63"/>
  <c r="S117" i="63" s="1"/>
  <c r="T117" i="63"/>
  <c r="Q119" i="63"/>
  <c r="S119" i="63" s="1"/>
  <c r="T119" i="63"/>
  <c r="Q100" i="63"/>
  <c r="S100" i="63" s="1"/>
  <c r="T100" i="63"/>
  <c r="Q109" i="63"/>
  <c r="S109" i="63" s="1"/>
  <c r="T109" i="63"/>
  <c r="Q66" i="63"/>
  <c r="S66" i="63" s="1"/>
  <c r="T66" i="63"/>
  <c r="Q53" i="63"/>
  <c r="S53" i="63" s="1"/>
  <c r="T53" i="63"/>
  <c r="Q69" i="63"/>
  <c r="S69" i="63" s="1"/>
  <c r="T69" i="63"/>
  <c r="Q85" i="63"/>
  <c r="S85" i="63" s="1"/>
  <c r="T85" i="63"/>
  <c r="Q70" i="63"/>
  <c r="S70" i="63" s="1"/>
  <c r="T70" i="63"/>
  <c r="Q86" i="63"/>
  <c r="S86" i="63" s="1"/>
  <c r="T86" i="63"/>
  <c r="Q105" i="63"/>
  <c r="S105" i="63" s="1"/>
  <c r="T105" i="63"/>
  <c r="Q29" i="68"/>
  <c r="S29" i="68" s="1"/>
  <c r="T29" i="68"/>
  <c r="Q30" i="68"/>
  <c r="S30" i="68" s="1"/>
  <c r="T30" i="68"/>
  <c r="Q26" i="68"/>
  <c r="S26" i="68" s="1"/>
  <c r="T26" i="68"/>
  <c r="Q27" i="68"/>
  <c r="S27" i="68" s="1"/>
  <c r="T27" i="68"/>
  <c r="Q25" i="68"/>
  <c r="S25" i="68" s="1"/>
  <c r="T25" i="68"/>
  <c r="Q23" i="68"/>
  <c r="S23" i="68" s="1"/>
  <c r="T23" i="68"/>
  <c r="Q24" i="68"/>
  <c r="S24" i="68" s="1"/>
  <c r="T24" i="68"/>
  <c r="Q28" i="68"/>
  <c r="S28" i="68" s="1"/>
  <c r="T28" i="68"/>
  <c r="Q22" i="68"/>
  <c r="S22" i="68" s="1"/>
  <c r="T22" i="68"/>
  <c r="Q27" i="66"/>
  <c r="S27" i="66" s="1"/>
  <c r="T27" i="66"/>
  <c r="Q22" i="66"/>
  <c r="S22" i="66" s="1"/>
  <c r="T22" i="66"/>
  <c r="Q36" i="66"/>
  <c r="S36" i="66" s="1"/>
  <c r="T36" i="66"/>
  <c r="Q23" i="66"/>
  <c r="S23" i="66" s="1"/>
  <c r="T23" i="66"/>
  <c r="Q34" i="66"/>
  <c r="S34" i="66" s="1"/>
  <c r="T34" i="66"/>
  <c r="Q32" i="66"/>
  <c r="S32" i="66" s="1"/>
  <c r="T32" i="66"/>
  <c r="Q28" i="66"/>
  <c r="S28" i="66" s="1"/>
  <c r="T28" i="66"/>
  <c r="Q33" i="66"/>
  <c r="S33" i="66" s="1"/>
  <c r="T33" i="66"/>
  <c r="Q35" i="66"/>
  <c r="S35" i="66" s="1"/>
  <c r="T35" i="66"/>
  <c r="Q26" i="66"/>
  <c r="S26" i="66" s="1"/>
  <c r="T26" i="66"/>
  <c r="Q29" i="66"/>
  <c r="S29" i="66" s="1"/>
  <c r="T29" i="66"/>
  <c r="Q30" i="66"/>
  <c r="S30" i="66" s="1"/>
  <c r="T30" i="66"/>
  <c r="Q24" i="66"/>
  <c r="S24" i="66" s="1"/>
  <c r="T24" i="66"/>
  <c r="Q31" i="66"/>
  <c r="S31" i="66" s="1"/>
  <c r="T31" i="66"/>
  <c r="Q25" i="66"/>
  <c r="S25" i="66" s="1"/>
  <c r="T25" i="66"/>
  <c r="S91" i="64"/>
  <c r="Q91" i="64"/>
  <c r="R91" i="64" s="1"/>
  <c r="S108" i="64"/>
  <c r="Q108" i="64"/>
  <c r="R108" i="64" s="1"/>
  <c r="S109" i="64"/>
  <c r="Q109" i="64"/>
  <c r="R109" i="64" s="1"/>
  <c r="S110" i="64"/>
  <c r="Q110" i="64"/>
  <c r="R110" i="64" s="1"/>
  <c r="S111" i="64"/>
  <c r="Q111" i="64"/>
  <c r="R111" i="64" s="1"/>
  <c r="S67" i="64"/>
  <c r="Q67" i="64"/>
  <c r="R67" i="64" s="1"/>
  <c r="S90" i="64"/>
  <c r="Q90" i="64"/>
  <c r="R90" i="64" s="1"/>
  <c r="S43" i="64"/>
  <c r="Q43" i="64"/>
  <c r="R43" i="64" s="1"/>
  <c r="S44" i="64"/>
  <c r="Q44" i="64"/>
  <c r="R44" i="64" s="1"/>
  <c r="S45" i="64"/>
  <c r="Q45" i="64"/>
  <c r="R45" i="64" s="1"/>
  <c r="S81" i="64"/>
  <c r="Q81" i="64"/>
  <c r="R81" i="64" s="1"/>
  <c r="S75" i="64"/>
  <c r="Q75" i="64"/>
  <c r="R75" i="64" s="1"/>
  <c r="S82" i="64"/>
  <c r="Q82" i="64"/>
  <c r="R82" i="64" s="1"/>
  <c r="S83" i="64"/>
  <c r="Q83" i="64"/>
  <c r="R83" i="64" s="1"/>
  <c r="Q125" i="64"/>
  <c r="R125" i="64" s="1"/>
  <c r="S125" i="64"/>
  <c r="S85" i="64"/>
  <c r="Q85" i="64"/>
  <c r="R85" i="64" s="1"/>
  <c r="S126" i="64"/>
  <c r="Q126" i="64"/>
  <c r="R126" i="64" s="1"/>
  <c r="S127" i="64"/>
  <c r="Q127" i="64"/>
  <c r="R127" i="64" s="1"/>
  <c r="S87" i="64"/>
  <c r="Q87" i="64"/>
  <c r="R87" i="64" s="1"/>
  <c r="S89" i="64"/>
  <c r="Q89" i="64"/>
  <c r="R89" i="64" s="1"/>
  <c r="S129" i="64"/>
  <c r="Q129" i="64"/>
  <c r="R129" i="64" s="1"/>
  <c r="S26" i="64"/>
  <c r="Q26" i="64"/>
  <c r="R26" i="64" s="1"/>
  <c r="S69" i="64"/>
  <c r="Q69" i="64"/>
  <c r="R69" i="64" s="1"/>
  <c r="S28" i="64"/>
  <c r="Q28" i="64"/>
  <c r="R28" i="64" s="1"/>
  <c r="S29" i="64"/>
  <c r="Q29" i="64"/>
  <c r="R29" i="64" s="1"/>
  <c r="S56" i="64"/>
  <c r="Q56" i="64"/>
  <c r="R56" i="64" s="1"/>
  <c r="S72" i="64"/>
  <c r="Q72" i="64"/>
  <c r="R72" i="64" s="1"/>
  <c r="S57" i="64"/>
  <c r="Q57" i="64"/>
  <c r="R57" i="64" s="1"/>
  <c r="S95" i="64"/>
  <c r="Q95" i="64"/>
  <c r="R95" i="64" s="1"/>
  <c r="S60" i="64"/>
  <c r="Q60" i="64"/>
  <c r="R60" i="64" s="1"/>
  <c r="Q98" i="64"/>
  <c r="R98" i="64" s="1"/>
  <c r="S98" i="64"/>
  <c r="S97" i="64"/>
  <c r="Q97" i="64"/>
  <c r="R97" i="64" s="1"/>
  <c r="S34" i="64"/>
  <c r="Q34" i="64"/>
  <c r="R34" i="64" s="1"/>
  <c r="S54" i="64"/>
  <c r="Q54" i="64"/>
  <c r="R54" i="64" s="1"/>
  <c r="S31" i="64"/>
  <c r="Q31" i="64"/>
  <c r="R31" i="64" s="1"/>
  <c r="S74" i="64"/>
  <c r="Q74" i="64"/>
  <c r="R74" i="64" s="1"/>
  <c r="S59" i="64"/>
  <c r="Q59" i="64"/>
  <c r="R59" i="64" s="1"/>
  <c r="S62" i="64"/>
  <c r="Q62" i="64"/>
  <c r="R62" i="64" s="1"/>
  <c r="Q100" i="64"/>
  <c r="R100" i="64" s="1"/>
  <c r="S100" i="64"/>
  <c r="S101" i="64"/>
  <c r="Q101" i="64"/>
  <c r="R101" i="64" s="1"/>
  <c r="S23" i="64"/>
  <c r="Q23" i="64"/>
  <c r="R23" i="64" s="1"/>
  <c r="S103" i="64"/>
  <c r="Q103" i="64"/>
  <c r="R103" i="64" s="1"/>
  <c r="S32" i="64"/>
  <c r="Q32" i="64"/>
  <c r="R32" i="64" s="1"/>
  <c r="S40" i="64"/>
  <c r="Q40" i="64"/>
  <c r="R40" i="64" s="1"/>
  <c r="S120" i="64"/>
  <c r="Q120" i="64"/>
  <c r="R120" i="64" s="1"/>
  <c r="S122" i="64"/>
  <c r="Q122" i="64"/>
  <c r="R122" i="64" s="1"/>
  <c r="Q112" i="64"/>
  <c r="R112" i="64" s="1"/>
  <c r="S112" i="64"/>
  <c r="S130" i="64"/>
  <c r="Q130" i="64"/>
  <c r="R130" i="64" s="1"/>
  <c r="Q42" i="64"/>
  <c r="R42" i="64" s="1"/>
  <c r="S42" i="64"/>
  <c r="Q131" i="64"/>
  <c r="R131" i="64" s="1"/>
  <c r="S131" i="64"/>
  <c r="S80" i="64"/>
  <c r="Q80" i="64"/>
  <c r="R80" i="64" s="1"/>
  <c r="S124" i="64"/>
  <c r="Q124" i="64"/>
  <c r="R124" i="64" s="1"/>
  <c r="S46" i="64"/>
  <c r="Q46" i="64"/>
  <c r="R46" i="64" s="1"/>
  <c r="S47" i="64"/>
  <c r="Q47" i="64"/>
  <c r="R47" i="64" s="1"/>
  <c r="S84" i="64"/>
  <c r="Q84" i="64"/>
  <c r="R84" i="64" s="1"/>
  <c r="S22" i="64"/>
  <c r="Q22" i="64"/>
  <c r="R22" i="64" s="1"/>
  <c r="S86" i="64"/>
  <c r="Q86" i="64"/>
  <c r="R86" i="64" s="1"/>
  <c r="S88" i="64"/>
  <c r="Q88" i="64"/>
  <c r="R88" i="64" s="1"/>
  <c r="S128" i="64"/>
  <c r="Q128" i="64"/>
  <c r="R128" i="64" s="1"/>
  <c r="S114" i="64"/>
  <c r="Q114" i="64"/>
  <c r="R114" i="64" s="1"/>
  <c r="S52" i="64"/>
  <c r="Q52" i="64"/>
  <c r="R52" i="64" s="1"/>
  <c r="S105" i="64"/>
  <c r="Q105" i="64"/>
  <c r="R105" i="64" s="1"/>
  <c r="S117" i="64"/>
  <c r="Q117" i="64"/>
  <c r="R117" i="64" s="1"/>
  <c r="S53" i="64"/>
  <c r="Q53" i="64"/>
  <c r="R53" i="64" s="1"/>
  <c r="S118" i="64"/>
  <c r="Q118" i="64"/>
  <c r="R118" i="64" s="1"/>
  <c r="S92" i="64"/>
  <c r="Q92" i="64"/>
  <c r="R92" i="64" s="1"/>
  <c r="S119" i="64"/>
  <c r="Q119" i="64"/>
  <c r="R119" i="64" s="1"/>
  <c r="S93" i="64"/>
  <c r="Q93" i="64"/>
  <c r="R93" i="64" s="1"/>
  <c r="S94" i="64"/>
  <c r="Q94" i="64"/>
  <c r="R94" i="64" s="1"/>
  <c r="S121" i="64"/>
  <c r="Q121" i="64"/>
  <c r="R121" i="64" s="1"/>
  <c r="S123" i="64"/>
  <c r="Q123" i="64"/>
  <c r="R123" i="64" s="1"/>
  <c r="S113" i="64"/>
  <c r="Q113" i="64"/>
  <c r="R113" i="64" s="1"/>
  <c r="S63" i="64"/>
  <c r="Q63" i="64"/>
  <c r="R63" i="64" s="1"/>
  <c r="S37" i="64"/>
  <c r="Q37" i="64"/>
  <c r="R37" i="64" s="1"/>
  <c r="S64" i="64"/>
  <c r="Q64" i="64"/>
  <c r="R64" i="64" s="1"/>
  <c r="S38" i="64"/>
  <c r="Q38" i="64"/>
  <c r="R38" i="64" s="1"/>
  <c r="S65" i="64"/>
  <c r="Q65" i="64"/>
  <c r="R65" i="64" s="1"/>
  <c r="S39" i="64"/>
  <c r="Q39" i="64"/>
  <c r="R39" i="64" s="1"/>
  <c r="S104" i="64"/>
  <c r="Q104" i="64"/>
  <c r="R104" i="64" s="1"/>
  <c r="S25" i="64"/>
  <c r="Q25" i="64"/>
  <c r="R25" i="64" s="1"/>
  <c r="Q79" i="64"/>
  <c r="R79" i="64" s="1"/>
  <c r="S79" i="64"/>
  <c r="S35" i="64"/>
  <c r="Q35" i="64"/>
  <c r="R35" i="64" s="1"/>
  <c r="S36" i="64"/>
  <c r="Q36" i="64"/>
  <c r="R36" i="64" s="1"/>
  <c r="S76" i="64"/>
  <c r="Q76" i="64"/>
  <c r="R76" i="64" s="1"/>
  <c r="S77" i="64"/>
  <c r="Q77" i="64"/>
  <c r="R77" i="64" s="1"/>
  <c r="S41" i="64"/>
  <c r="Q41" i="64"/>
  <c r="R41" i="64" s="1"/>
  <c r="S68" i="64"/>
  <c r="Q68" i="64"/>
  <c r="R68" i="64" s="1"/>
  <c r="S78" i="64"/>
  <c r="Q78" i="64"/>
  <c r="R78" i="64" s="1"/>
  <c r="S27" i="64"/>
  <c r="Q27" i="64"/>
  <c r="R27" i="64" s="1"/>
  <c r="S70" i="64"/>
  <c r="Q70" i="64"/>
  <c r="R70" i="64" s="1"/>
  <c r="S30" i="64"/>
  <c r="Q30" i="64"/>
  <c r="R30" i="64" s="1"/>
  <c r="S73" i="64"/>
  <c r="Q73" i="64"/>
  <c r="R73" i="64" s="1"/>
  <c r="S58" i="64"/>
  <c r="Q58" i="64"/>
  <c r="R58" i="64" s="1"/>
  <c r="S96" i="64"/>
  <c r="Q96" i="64"/>
  <c r="R96" i="64" s="1"/>
  <c r="S107" i="64"/>
  <c r="Q107" i="64"/>
  <c r="R107" i="64" s="1"/>
  <c r="Q33" i="64"/>
  <c r="R33" i="64" s="1"/>
  <c r="S33" i="64"/>
  <c r="S61" i="64"/>
  <c r="Q61" i="64"/>
  <c r="R61" i="64" s="1"/>
  <c r="S99" i="64"/>
  <c r="Q99" i="64"/>
  <c r="R99" i="64" s="1"/>
  <c r="S55" i="64"/>
  <c r="Q55" i="64"/>
  <c r="R55" i="64" s="1"/>
  <c r="S102" i="64"/>
  <c r="Q102" i="64"/>
  <c r="R102" i="64" s="1"/>
  <c r="S51" i="64"/>
  <c r="Q51" i="64"/>
  <c r="R51" i="64" s="1"/>
  <c r="S24" i="64"/>
  <c r="Q24" i="64"/>
  <c r="R24" i="64" s="1"/>
  <c r="S115" i="64"/>
  <c r="Q115" i="64"/>
  <c r="R115" i="64" s="1"/>
  <c r="Q71" i="64"/>
  <c r="R71" i="64" s="1"/>
  <c r="S71" i="64"/>
  <c r="S116" i="64"/>
  <c r="Q116" i="64"/>
  <c r="R116" i="64" s="1"/>
  <c r="S106" i="64"/>
  <c r="Q106" i="64"/>
  <c r="R106" i="64" s="1"/>
  <c r="Q48" i="64"/>
  <c r="S48" i="64"/>
  <c r="S49" i="64"/>
  <c r="Q49" i="64"/>
  <c r="R49" i="64" s="1"/>
  <c r="S50" i="64"/>
  <c r="Q50" i="64"/>
  <c r="R50" i="64" s="1"/>
  <c r="S66" i="64"/>
  <c r="Q66" i="64"/>
  <c r="R66" i="64" s="1"/>
  <c r="Q73" i="62"/>
  <c r="S73" i="62" s="1"/>
  <c r="T73" i="62"/>
  <c r="T107" i="62"/>
  <c r="T126" i="62"/>
  <c r="T129" i="62"/>
  <c r="T148" i="62"/>
  <c r="T149" i="62"/>
  <c r="T150" i="62"/>
  <c r="Q101" i="62"/>
  <c r="S101" i="62" s="1"/>
  <c r="T101" i="62"/>
  <c r="Q103" i="62"/>
  <c r="S103" i="62" s="1"/>
  <c r="T103" i="62"/>
  <c r="T105" i="62"/>
  <c r="T153" i="62"/>
  <c r="T106" i="62"/>
  <c r="Q46" i="62"/>
  <c r="S46" i="62" s="1"/>
  <c r="T46" i="62"/>
  <c r="Q47" i="62"/>
  <c r="S47" i="62" s="1"/>
  <c r="T47" i="62"/>
  <c r="Q48" i="62"/>
  <c r="S48" i="62" s="1"/>
  <c r="T48" i="62"/>
  <c r="Q96" i="62"/>
  <c r="S96" i="62" s="1"/>
  <c r="T96" i="62"/>
  <c r="Q81" i="62"/>
  <c r="S81" i="62" s="1"/>
  <c r="T81" i="62"/>
  <c r="Q97" i="62"/>
  <c r="S97" i="62" s="1"/>
  <c r="T97" i="62"/>
  <c r="Q98" i="62"/>
  <c r="S98" i="62" s="1"/>
  <c r="T98" i="62"/>
  <c r="Q68" i="62"/>
  <c r="S68" i="62" s="1"/>
  <c r="T68" i="62"/>
  <c r="T116" i="62"/>
  <c r="T117" i="62"/>
  <c r="T119" i="62"/>
  <c r="Q23" i="62"/>
  <c r="S23" i="62" s="1"/>
  <c r="T23" i="62"/>
  <c r="Q75" i="62"/>
  <c r="S75" i="62" s="1"/>
  <c r="T75" i="62"/>
  <c r="Q60" i="62"/>
  <c r="S60" i="62" s="1"/>
  <c r="T60" i="62"/>
  <c r="Q29" i="62"/>
  <c r="S29" i="62" s="1"/>
  <c r="T29" i="62"/>
  <c r="Q30" i="62"/>
  <c r="S30" i="62" s="1"/>
  <c r="T30" i="62"/>
  <c r="Q62" i="62"/>
  <c r="S62" i="62" s="1"/>
  <c r="T62" i="62"/>
  <c r="Q78" i="62"/>
  <c r="S78" i="62" s="1"/>
  <c r="T78" i="62"/>
  <c r="Q63" i="62"/>
  <c r="S63" i="62" s="1"/>
  <c r="T63" i="62"/>
  <c r="T111" i="62"/>
  <c r="Q80" i="62"/>
  <c r="S80" i="62" s="1"/>
  <c r="T80" i="62"/>
  <c r="Q27" i="62"/>
  <c r="S27" i="62" s="1"/>
  <c r="T27" i="62"/>
  <c r="Q33" i="62"/>
  <c r="S33" i="62" s="1"/>
  <c r="T33" i="62"/>
  <c r="Q65" i="62"/>
  <c r="S65" i="62" s="1"/>
  <c r="T65" i="62"/>
  <c r="T113" i="62"/>
  <c r="Q41" i="62"/>
  <c r="S41" i="62" s="1"/>
  <c r="T41" i="62"/>
  <c r="T114" i="62"/>
  <c r="Q32" i="62"/>
  <c r="S32" i="62" s="1"/>
  <c r="T32" i="62"/>
  <c r="Q66" i="62"/>
  <c r="S66" i="62" s="1"/>
  <c r="T66" i="62"/>
  <c r="Q35" i="62"/>
  <c r="S35" i="62" s="1"/>
  <c r="T35" i="62"/>
  <c r="T141" i="62"/>
  <c r="T143" i="62"/>
  <c r="T130" i="62"/>
  <c r="Q22" i="62"/>
  <c r="S22" i="62" s="1"/>
  <c r="T22" i="62"/>
  <c r="Q102" i="62"/>
  <c r="S102" i="62" s="1"/>
  <c r="T102" i="62"/>
  <c r="T152" i="62"/>
  <c r="T154" i="62"/>
  <c r="Q104" i="62"/>
  <c r="S104" i="62" s="1"/>
  <c r="T104" i="62"/>
  <c r="Q43" i="62"/>
  <c r="S43" i="62" s="1"/>
  <c r="T43" i="62"/>
  <c r="Q93" i="62"/>
  <c r="S93" i="62" s="1"/>
  <c r="T93" i="62"/>
  <c r="T155" i="62"/>
  <c r="T145" i="62"/>
  <c r="Q100" i="62"/>
  <c r="S100" i="62" s="1"/>
  <c r="T100" i="62"/>
  <c r="Q50" i="62"/>
  <c r="S50" i="62" s="1"/>
  <c r="T50" i="62"/>
  <c r="Q51" i="62"/>
  <c r="S51" i="62" s="1"/>
  <c r="T51" i="62"/>
  <c r="T134" i="62"/>
  <c r="T135" i="62"/>
  <c r="Q56" i="62"/>
  <c r="S56" i="62" s="1"/>
  <c r="T56" i="62"/>
  <c r="Q82" i="62"/>
  <c r="S82" i="62" s="1"/>
  <c r="T82" i="62"/>
  <c r="T123" i="62"/>
  <c r="T133" i="62"/>
  <c r="Q69" i="62"/>
  <c r="S69" i="62" s="1"/>
  <c r="T69" i="62"/>
  <c r="Q39" i="62"/>
  <c r="S39" i="62" s="1"/>
  <c r="T39" i="62"/>
  <c r="Q38" i="62"/>
  <c r="S38" i="62" s="1"/>
  <c r="T38" i="62"/>
  <c r="Q58" i="62"/>
  <c r="S58" i="62" s="1"/>
  <c r="T58" i="62"/>
  <c r="T122" i="62"/>
  <c r="T138" i="62"/>
  <c r="T139" i="62"/>
  <c r="T108" i="62"/>
  <c r="T140" i="62"/>
  <c r="Q71" i="62"/>
  <c r="S71" i="62" s="1"/>
  <c r="T71" i="62"/>
  <c r="T121" i="62"/>
  <c r="T109" i="62"/>
  <c r="Q59" i="62"/>
  <c r="S59" i="62" s="1"/>
  <c r="T59" i="62"/>
  <c r="T110" i="62"/>
  <c r="T142" i="62"/>
  <c r="Q70" i="62"/>
  <c r="S70" i="62" s="1"/>
  <c r="T70" i="62"/>
  <c r="Q40" i="62"/>
  <c r="S40" i="62" s="1"/>
  <c r="T40" i="62"/>
  <c r="T144" i="62"/>
  <c r="T131" i="62"/>
  <c r="Q36" i="62"/>
  <c r="S36" i="62" s="1"/>
  <c r="T36" i="62"/>
  <c r="Q37" i="62"/>
  <c r="S37" i="62" s="1"/>
  <c r="T37" i="62"/>
  <c r="Q26" i="62"/>
  <c r="S26" i="62" s="1"/>
  <c r="T26" i="62"/>
  <c r="Q88" i="62"/>
  <c r="S88" i="62" s="1"/>
  <c r="T88" i="62"/>
  <c r="Q91" i="62"/>
  <c r="S91" i="62" s="1"/>
  <c r="T91" i="62"/>
  <c r="Q89" i="62"/>
  <c r="S89" i="62" s="1"/>
  <c r="T89" i="62"/>
  <c r="T118" i="62"/>
  <c r="T136" i="62"/>
  <c r="Q55" i="62"/>
  <c r="S55" i="62" s="1"/>
  <c r="T55" i="62"/>
  <c r="Q24" i="62"/>
  <c r="S24" i="62" s="1"/>
  <c r="T24" i="62"/>
  <c r="T137" i="62"/>
  <c r="Q42" i="62"/>
  <c r="S42" i="62" s="1"/>
  <c r="T42" i="62"/>
  <c r="Q74" i="62"/>
  <c r="S74" i="62" s="1"/>
  <c r="T74" i="62"/>
  <c r="Q28" i="62"/>
  <c r="S28" i="62" s="1"/>
  <c r="T28" i="62"/>
  <c r="Q76" i="62"/>
  <c r="S76" i="62" s="1"/>
  <c r="T76" i="62"/>
  <c r="Q90" i="62"/>
  <c r="S90" i="62" s="1"/>
  <c r="T90" i="62"/>
  <c r="Q61" i="62"/>
  <c r="S61" i="62" s="1"/>
  <c r="T61" i="62"/>
  <c r="Q77" i="62"/>
  <c r="S77" i="62" s="1"/>
  <c r="T77" i="62"/>
  <c r="T125" i="62"/>
  <c r="Q79" i="62"/>
  <c r="S79" i="62" s="1"/>
  <c r="T79" i="62"/>
  <c r="Q31" i="62"/>
  <c r="S31" i="62" s="1"/>
  <c r="T31" i="62"/>
  <c r="Q64" i="62"/>
  <c r="S64" i="62" s="1"/>
  <c r="T64" i="62"/>
  <c r="T112" i="62"/>
  <c r="Q34" i="62"/>
  <c r="S34" i="62" s="1"/>
  <c r="T34" i="62"/>
  <c r="Q67" i="62"/>
  <c r="S67" i="62" s="1"/>
  <c r="T67" i="62"/>
  <c r="T115" i="62"/>
  <c r="Q53" i="62"/>
  <c r="S53" i="62" s="1"/>
  <c r="T53" i="62"/>
  <c r="Q52" i="62"/>
  <c r="S52" i="62" s="1"/>
  <c r="T52" i="62"/>
  <c r="Q54" i="62"/>
  <c r="S54" i="62" s="1"/>
  <c r="T54" i="62"/>
  <c r="Q72" i="62"/>
  <c r="S72" i="62" s="1"/>
  <c r="T72" i="62"/>
  <c r="T124" i="62"/>
  <c r="S22" i="69"/>
  <c r="Q21" i="69"/>
  <c r="S21" i="69" s="1"/>
  <c r="H18" i="43"/>
  <c r="F29" i="43"/>
  <c r="H18" i="30"/>
  <c r="F29" i="30"/>
  <c r="F29" i="29"/>
  <c r="P10" i="43"/>
  <c r="P12" i="43" s="1"/>
  <c r="P22" i="43"/>
  <c r="M10" i="43"/>
  <c r="M12" i="43" s="1"/>
  <c r="M22" i="43"/>
  <c r="O22" i="43"/>
  <c r="N22" i="43"/>
  <c r="K62" i="38"/>
  <c r="N10" i="43"/>
  <c r="N12" i="43" s="1"/>
  <c r="O10" i="43"/>
  <c r="O12" i="43" s="1"/>
  <c r="M27" i="43"/>
  <c r="O142" i="62" l="1"/>
  <c r="O143" i="62"/>
  <c r="O144" i="62"/>
  <c r="O133" i="62"/>
  <c r="Q133" i="62" s="1"/>
  <c r="S133" i="62" s="1"/>
  <c r="O141" i="62"/>
  <c r="Q141" i="62" s="1"/>
  <c r="S141" i="62" s="1"/>
  <c r="O76" i="63"/>
  <c r="Q76" i="63" s="1"/>
  <c r="S76" i="63" s="1"/>
  <c r="O77" i="63"/>
  <c r="Q77" i="63" s="1"/>
  <c r="S77" i="63" s="1"/>
  <c r="O78" i="63"/>
  <c r="O79" i="63"/>
  <c r="Q79" i="63" s="1"/>
  <c r="S79" i="63" s="1"/>
  <c r="O80" i="63"/>
  <c r="Q80" i="63" s="1"/>
  <c r="S80" i="63" s="1"/>
  <c r="O81" i="63"/>
  <c r="Q81" i="63" s="1"/>
  <c r="S81" i="63" s="1"/>
  <c r="O82" i="63"/>
  <c r="Q82" i="63" s="1"/>
  <c r="S82" i="63" s="1"/>
  <c r="O26" i="63"/>
  <c r="Q26" i="63" s="1"/>
  <c r="S26" i="63" s="1"/>
  <c r="O27" i="63"/>
  <c r="Q27" i="63" s="1"/>
  <c r="S27" i="63" s="1"/>
  <c r="O28" i="63"/>
  <c r="Q28" i="63" s="1"/>
  <c r="S28" i="63" s="1"/>
  <c r="O29" i="63"/>
  <c r="Q29" i="63" s="1"/>
  <c r="S29" i="63" s="1"/>
  <c r="Q105" i="62"/>
  <c r="S105" i="62" s="1"/>
  <c r="Q106" i="62"/>
  <c r="S106" i="62" s="1"/>
  <c r="Q122" i="62"/>
  <c r="S122" i="62" s="1"/>
  <c r="Q138" i="62"/>
  <c r="S138" i="62" s="1"/>
  <c r="Q154" i="62"/>
  <c r="S154" i="62" s="1"/>
  <c r="Q107" i="62"/>
  <c r="S107" i="62" s="1"/>
  <c r="Q123" i="62"/>
  <c r="S123" i="62" s="1"/>
  <c r="Q139" i="62"/>
  <c r="S139" i="62" s="1"/>
  <c r="Q155" i="62"/>
  <c r="S155" i="62" s="1"/>
  <c r="Q108" i="62"/>
  <c r="S108" i="62" s="1"/>
  <c r="Q124" i="62"/>
  <c r="S124" i="62" s="1"/>
  <c r="Q140" i="62"/>
  <c r="S140" i="62" s="1"/>
  <c r="Q109" i="62"/>
  <c r="S109" i="62" s="1"/>
  <c r="Q125" i="62"/>
  <c r="S125" i="62" s="1"/>
  <c r="Q110" i="62"/>
  <c r="S110" i="62" s="1"/>
  <c r="Q126" i="62"/>
  <c r="S126" i="62" s="1"/>
  <c r="Q142" i="62"/>
  <c r="S142" i="62" s="1"/>
  <c r="Q121" i="62"/>
  <c r="S121" i="62" s="1"/>
  <c r="Q111" i="62"/>
  <c r="S111" i="62" s="1"/>
  <c r="Q143" i="62"/>
  <c r="S143" i="62" s="1"/>
  <c r="Q112" i="62"/>
  <c r="S112" i="62" s="1"/>
  <c r="Q144" i="62"/>
  <c r="S144" i="62" s="1"/>
  <c r="Q152" i="62"/>
  <c r="S152" i="62" s="1"/>
  <c r="Q113" i="62"/>
  <c r="S113" i="62" s="1"/>
  <c r="Q129" i="62"/>
  <c r="S129" i="62" s="1"/>
  <c r="Q145" i="62"/>
  <c r="S145" i="62" s="1"/>
  <c r="Q114" i="62"/>
  <c r="S114" i="62" s="1"/>
  <c r="Q130" i="62"/>
  <c r="S130" i="62" s="1"/>
  <c r="Q115" i="62"/>
  <c r="S115" i="62" s="1"/>
  <c r="Q131" i="62"/>
  <c r="S131" i="62" s="1"/>
  <c r="Q136" i="62"/>
  <c r="S136" i="62" s="1"/>
  <c r="Q116" i="62"/>
  <c r="S116" i="62" s="1"/>
  <c r="Q148" i="62"/>
  <c r="S148" i="62" s="1"/>
  <c r="Q117" i="62"/>
  <c r="S117" i="62" s="1"/>
  <c r="Q149" i="62"/>
  <c r="S149" i="62" s="1"/>
  <c r="Q118" i="62"/>
  <c r="S118" i="62" s="1"/>
  <c r="Q134" i="62"/>
  <c r="S134" i="62" s="1"/>
  <c r="Q150" i="62"/>
  <c r="S150" i="62" s="1"/>
  <c r="Q137" i="62"/>
  <c r="S137" i="62" s="1"/>
  <c r="Q119" i="62"/>
  <c r="S119" i="62" s="1"/>
  <c r="Q135" i="62"/>
  <c r="S135" i="62" s="1"/>
  <c r="Q153" i="62"/>
  <c r="S153" i="62" s="1"/>
  <c r="P13" i="38"/>
  <c r="P14" i="38" s="1"/>
  <c r="P15" i="38" s="1"/>
  <c r="P16" i="38" s="1"/>
  <c r="P17" i="38" s="1"/>
  <c r="P18" i="38" s="1"/>
  <c r="P19" i="38" s="1"/>
  <c r="P20" i="38" s="1"/>
  <c r="P21" i="38" s="1"/>
  <c r="O13" i="38"/>
  <c r="O14" i="38" s="1"/>
  <c r="O15" i="38" s="1"/>
  <c r="O16" i="38" s="1"/>
  <c r="O17" i="38" s="1"/>
  <c r="O18" i="38" s="1"/>
  <c r="O19" i="38" s="1"/>
  <c r="O20" i="38" s="1"/>
  <c r="O21" i="38" s="1"/>
  <c r="N13" i="38"/>
  <c r="N14" i="38" s="1"/>
  <c r="N15" i="38" s="1"/>
  <c r="N16" i="38" s="1"/>
  <c r="N17" i="38" s="1"/>
  <c r="N18" i="38" s="1"/>
  <c r="N19" i="38" s="1"/>
  <c r="N20" i="38" s="1"/>
  <c r="N21" i="38" s="1"/>
  <c r="M13" i="38"/>
  <c r="M14" i="38" s="1"/>
  <c r="M15" i="38" s="1"/>
  <c r="M16" i="38" s="1"/>
  <c r="M17" i="38" s="1"/>
  <c r="M18" i="38" s="1"/>
  <c r="M19" i="38" s="1"/>
  <c r="M20" i="38" s="1"/>
  <c r="M21" i="38" s="1"/>
  <c r="Q21" i="67"/>
  <c r="T14" i="67"/>
  <c r="R58" i="65"/>
  <c r="Q21" i="65"/>
  <c r="S14" i="65"/>
  <c r="T14" i="63"/>
  <c r="T14" i="68"/>
  <c r="Q21" i="68"/>
  <c r="Q21" i="66"/>
  <c r="T14" i="66"/>
  <c r="S14" i="64"/>
  <c r="R48" i="64"/>
  <c r="Q21" i="64"/>
  <c r="T14" i="62"/>
  <c r="F6" i="23"/>
  <c r="H6" i="23" s="1"/>
  <c r="G6" i="23" s="1"/>
  <c r="K23" i="1"/>
  <c r="N13" i="43"/>
  <c r="N14" i="43" s="1"/>
  <c r="N15" i="43" s="1"/>
  <c r="N16" i="43" s="1"/>
  <c r="N17" i="43" s="1"/>
  <c r="N18" i="43" s="1"/>
  <c r="N19" i="43" s="1"/>
  <c r="N20" i="43" s="1"/>
  <c r="N21" i="43" s="1"/>
  <c r="P13" i="43"/>
  <c r="P14" i="43" s="1"/>
  <c r="P15" i="43" s="1"/>
  <c r="P16" i="43" s="1"/>
  <c r="P17" i="43" s="1"/>
  <c r="P18" i="43" s="1"/>
  <c r="P19" i="43" s="1"/>
  <c r="P20" i="43" s="1"/>
  <c r="P21" i="43" s="1"/>
  <c r="O13" i="43"/>
  <c r="O14" i="43" s="1"/>
  <c r="O15" i="43" s="1"/>
  <c r="O16" i="43" s="1"/>
  <c r="O17" i="43" s="1"/>
  <c r="O18" i="43" s="1"/>
  <c r="O19" i="43" s="1"/>
  <c r="O20" i="43" s="1"/>
  <c r="O21" i="43" s="1"/>
  <c r="M13" i="43"/>
  <c r="M14" i="43" s="1"/>
  <c r="M15" i="43" s="1"/>
  <c r="M16" i="43" s="1"/>
  <c r="M17" i="43" s="1"/>
  <c r="M18" i="43" s="1"/>
  <c r="M19" i="43" s="1"/>
  <c r="M20" i="43" s="1"/>
  <c r="M21" i="43" s="1"/>
  <c r="Q41" i="70" l="1"/>
  <c r="S41" i="70" s="1"/>
  <c r="T41" i="70"/>
  <c r="Q43" i="70"/>
  <c r="S43" i="70" s="1"/>
  <c r="T43" i="70"/>
  <c r="Q40" i="70"/>
  <c r="S40" i="70" s="1"/>
  <c r="T40" i="70"/>
  <c r="Q42" i="70"/>
  <c r="S42" i="70" s="1"/>
  <c r="T42" i="70"/>
  <c r="Q39" i="70"/>
  <c r="S39" i="70" s="1"/>
  <c r="T39" i="70"/>
  <c r="Q44" i="70"/>
  <c r="S44" i="70" s="1"/>
  <c r="T44" i="70"/>
  <c r="Q21" i="63"/>
  <c r="C7" i="3" s="1"/>
  <c r="Q21" i="62"/>
  <c r="S21" i="62" s="1"/>
  <c r="M24" i="38"/>
  <c r="N24" i="38"/>
  <c r="O24" i="38"/>
  <c r="P24" i="38"/>
  <c r="I24" i="1"/>
  <c r="S21" i="67"/>
  <c r="C6" i="23"/>
  <c r="E6" i="23" s="1"/>
  <c r="D6" i="23" s="1"/>
  <c r="S21" i="68"/>
  <c r="I23" i="1"/>
  <c r="S21" i="66"/>
  <c r="F7" i="3"/>
  <c r="J23" i="1"/>
  <c r="R21" i="65"/>
  <c r="D7" i="3"/>
  <c r="G24" i="1"/>
  <c r="F6" i="3"/>
  <c r="R21" i="64"/>
  <c r="G23" i="1"/>
  <c r="D6" i="3"/>
  <c r="N24" i="43"/>
  <c r="O24" i="43"/>
  <c r="P24" i="43"/>
  <c r="M24" i="43"/>
  <c r="Q21" i="70" l="1"/>
  <c r="L23" i="1" s="1"/>
  <c r="T14" i="70"/>
  <c r="F24" i="1"/>
  <c r="M24" i="1" s="1"/>
  <c r="F23" i="1"/>
  <c r="M23" i="1" s="1"/>
  <c r="S21" i="63"/>
  <c r="C6" i="3"/>
  <c r="H7" i="3"/>
  <c r="J7" i="3" s="1"/>
  <c r="N24" i="1" s="1"/>
  <c r="S21" i="70"/>
  <c r="G6" i="3"/>
  <c r="H6" i="3" l="1"/>
  <c r="J6" i="3" s="1"/>
  <c r="I6" i="3" s="1"/>
  <c r="J8" i="3"/>
  <c r="N23" i="1"/>
  <c r="H8" i="3"/>
  <c r="I7" i="3"/>
  <c r="I8" i="3" s="1"/>
  <c r="M12" i="70"/>
  <c r="O14" i="70"/>
  <c r="M11" i="7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<sst xmlns="http://schemas.openxmlformats.org/spreadsheetml/2006/main" count="4343" uniqueCount="425">
  <si>
    <t>Inhaltsverzeichnis</t>
  </si>
  <si>
    <t>1.00</t>
  </si>
  <si>
    <t>Produktiver Stundenlohn</t>
  </si>
  <si>
    <t>%</t>
  </si>
  <si>
    <t>€</t>
  </si>
  <si>
    <t>2.00</t>
  </si>
  <si>
    <t>Lohngebundene Kosten</t>
  </si>
  <si>
    <t>2.10</t>
  </si>
  <si>
    <t>Soziallöhne</t>
  </si>
  <si>
    <t>2.11</t>
  </si>
  <si>
    <t>Gesetzliche Feiertage</t>
  </si>
  <si>
    <t>2.12</t>
  </si>
  <si>
    <t>Urlaubsentgelt</t>
  </si>
  <si>
    <t>2.13</t>
  </si>
  <si>
    <t>Zusätzliches Urlaubsentgelt</t>
  </si>
  <si>
    <t>2.14</t>
  </si>
  <si>
    <t>Lohnfortzahlung im Krankheitsfall</t>
  </si>
  <si>
    <t>2.15</t>
  </si>
  <si>
    <t>Arbeitsfreistellung</t>
  </si>
  <si>
    <t>Zwischensumme Soziallöhne</t>
  </si>
  <si>
    <t>2.20</t>
  </si>
  <si>
    <t>Sozialversicherungsbeiträge auf Fertigungslohn und Soziallöhne (Arbeitgeberanteil)</t>
  </si>
  <si>
    <t>2.21</t>
  </si>
  <si>
    <t>Krankenversicherung auf Soziallöhne</t>
  </si>
  <si>
    <t>2.22</t>
  </si>
  <si>
    <t>Rentenversicherung auf Soziallöhne</t>
  </si>
  <si>
    <t>2.23</t>
  </si>
  <si>
    <t>Arbeitslosenversicherung auf Soziallöhne</t>
  </si>
  <si>
    <t>2.24</t>
  </si>
  <si>
    <t>Pflegeversicherung auf Soziallöhne</t>
  </si>
  <si>
    <t>2.25</t>
  </si>
  <si>
    <t>U2 Mutterschaftsaufwendungen auf Soziallöhne</t>
  </si>
  <si>
    <t>2.30</t>
  </si>
  <si>
    <t>2.31</t>
  </si>
  <si>
    <t>Zwischensumme Lohnkosten inkl. Sozialabgaben (Summe 2.10 - 2.31)</t>
  </si>
  <si>
    <t>Zusätzliche lohngebundene Kosten</t>
  </si>
  <si>
    <t>2.50</t>
  </si>
  <si>
    <t>Haftpflichtversicherung</t>
  </si>
  <si>
    <t>2.60</t>
  </si>
  <si>
    <t>Sonstige Personalkosten</t>
  </si>
  <si>
    <t>Summe lohngebundene Kosten (Summe 2.10 - 2.60)</t>
  </si>
  <si>
    <t>3.00</t>
  </si>
  <si>
    <t>Sonstige auftragsbezogene Kosten</t>
  </si>
  <si>
    <t>3.10</t>
  </si>
  <si>
    <t>Aufsichtslohn Vorarbeiter</t>
  </si>
  <si>
    <t>inkl. Soziale Folgekosten f. Aufsichtslohn</t>
  </si>
  <si>
    <t>3.20</t>
  </si>
  <si>
    <t>Fahrkostenzuschuss</t>
  </si>
  <si>
    <t>3.30</t>
  </si>
  <si>
    <t>Fertigungsmaterial; Maschinen, Geräte, AfA, etc.</t>
  </si>
  <si>
    <t>3.40</t>
  </si>
  <si>
    <t>Sondereinzelkosten</t>
  </si>
  <si>
    <t>Zwischensumme sonstige auftragsbezogene Kosten (Summe 3.10 - 3.40)</t>
  </si>
  <si>
    <t>4.00</t>
  </si>
  <si>
    <t>Unternehmensbezogene Kosten</t>
  </si>
  <si>
    <t>4.10</t>
  </si>
  <si>
    <t>Gehälter</t>
  </si>
  <si>
    <t>4.11</t>
  </si>
  <si>
    <t>Technische Angestellte, inkl. Lohnfolgekosten</t>
  </si>
  <si>
    <t>4.12</t>
  </si>
  <si>
    <t>4.20</t>
  </si>
  <si>
    <t>Fuhrparkkosten</t>
  </si>
  <si>
    <t>4.30</t>
  </si>
  <si>
    <t>Fertigungshilfskosten</t>
  </si>
  <si>
    <t>4.31</t>
  </si>
  <si>
    <t>Löhne Hilfsdienste, inkl. Lohnfolgekosten</t>
  </si>
  <si>
    <t>4.32</t>
  </si>
  <si>
    <t>Sonstige Betriebskosten</t>
  </si>
  <si>
    <t>4.40</t>
  </si>
  <si>
    <t>Schwerbehindertenabgabe</t>
  </si>
  <si>
    <t>4.50</t>
  </si>
  <si>
    <t>Sonstige Verwaltungskosten</t>
  </si>
  <si>
    <t>4.60</t>
  </si>
  <si>
    <t>Betriebsratskosten</t>
  </si>
  <si>
    <t>4.70</t>
  </si>
  <si>
    <t>Sonstige Kosten (Verbandsbeiträge, Zertifizierung etc.)</t>
  </si>
  <si>
    <t>4.80</t>
  </si>
  <si>
    <t>Gewerbesteuer</t>
  </si>
  <si>
    <t>Zwischensumme unternehmensbezogene Kosten (Summe 4.10 - 4.80)</t>
  </si>
  <si>
    <t>5.00</t>
  </si>
  <si>
    <t>Selbstkosten (Summe 1.00 - 4.80)</t>
  </si>
  <si>
    <t>6.00</t>
  </si>
  <si>
    <t>Zuschlag für Wagnis + Gewinn auf Selbstkosten</t>
  </si>
  <si>
    <t>Stundenverrechnungssatz Normalstunde</t>
  </si>
  <si>
    <t>Kalkulationszuschlag (Pos 6 - Pos 1)</t>
  </si>
  <si>
    <t>Basisdaten</t>
  </si>
  <si>
    <t>Anzahl Tage</t>
  </si>
  <si>
    <t>durchschnittliche Urlaubstage</t>
  </si>
  <si>
    <t>durchschnittliche Krankheitstage</t>
  </si>
  <si>
    <t>bezahlte Freistellungen</t>
  </si>
  <si>
    <t>Feiertage</t>
  </si>
  <si>
    <t>Bieter</t>
  </si>
  <si>
    <t>lfd. Nr.</t>
  </si>
  <si>
    <t>Etage</t>
  </si>
  <si>
    <t>Bereich</t>
  </si>
  <si>
    <t>Bodenart</t>
  </si>
  <si>
    <t>Objektname</t>
  </si>
  <si>
    <t>Raum-
nummer</t>
  </si>
  <si>
    <t>Raumbe-
zeichnung</t>
  </si>
  <si>
    <t>Reinigungs-
gruppe</t>
  </si>
  <si>
    <t>Zurück zum Inhaltsverzeichnis</t>
  </si>
  <si>
    <t>Kalkulation des Stundenverrechnungssatzes Grundreinigung</t>
  </si>
  <si>
    <t>Kalkulation des Stundenverrechnungssatzes Unterhaltsreinigung</t>
  </si>
  <si>
    <t>Bieter:</t>
  </si>
  <si>
    <t>Kalkulation des Stundenverrechnungssatzes Glasreinigung</t>
  </si>
  <si>
    <t>Reini-
gungs-
intervall</t>
  </si>
  <si>
    <t>Leistungs-
werte 
(m²/h)</t>
  </si>
  <si>
    <t>aufge-
legter 
Teppich</t>
  </si>
  <si>
    <t>Anzahl 
Schmutz-
fang</t>
  </si>
  <si>
    <t>Reini-
gungs-
tage / Jahr</t>
  </si>
  <si>
    <t>Reinigungs-
fläche / Jahr 
(m²)</t>
  </si>
  <si>
    <t>SVS
(€/h)</t>
  </si>
  <si>
    <t>Reinigungs-
stunden / 
Jahr</t>
  </si>
  <si>
    <t>Preis / Jahr 
(€)</t>
  </si>
  <si>
    <t>Objekt</t>
  </si>
  <si>
    <t>SVS
 (€/h)</t>
  </si>
  <si>
    <t>Netto-Preis / Jahr (€)</t>
  </si>
  <si>
    <t>Reinigungs-
fläche 
(m²)</t>
  </si>
  <si>
    <t>Reinigungsart</t>
  </si>
  <si>
    <t>Die gesetzliche Unfallversicherung richtet sich nach der Gefahrenklasse, die für den Betrieb gilt.</t>
  </si>
  <si>
    <t>Gesamt</t>
  </si>
  <si>
    <t>Kaufmännische Angestellte, inkl. Lohnfolgekosten</t>
  </si>
  <si>
    <r>
      <t>Krankenversicherung auf Produktivlohn</t>
    </r>
    <r>
      <rPr>
        <vertAlign val="superscript"/>
        <sz val="8"/>
        <rFont val="Verdana"/>
        <family val="2"/>
      </rPr>
      <t>1</t>
    </r>
  </si>
  <si>
    <r>
      <t>Rentenversicherung auf Produktivlohn</t>
    </r>
    <r>
      <rPr>
        <vertAlign val="superscript"/>
        <sz val="8"/>
        <rFont val="Verdana"/>
        <family val="2"/>
      </rPr>
      <t>2</t>
    </r>
  </si>
  <si>
    <r>
      <t>Arbeitslosenversicherung auf Produktivlohn</t>
    </r>
    <r>
      <rPr>
        <vertAlign val="superscript"/>
        <sz val="8"/>
        <rFont val="Verdana"/>
        <family val="2"/>
      </rPr>
      <t>3</t>
    </r>
  </si>
  <si>
    <r>
      <t>Pflegeversicherung auf Produktivlohn</t>
    </r>
    <r>
      <rPr>
        <vertAlign val="superscript"/>
        <sz val="8"/>
        <rFont val="Verdana"/>
        <family val="2"/>
      </rPr>
      <t>4</t>
    </r>
  </si>
  <si>
    <r>
      <t>U2 Mutterschaftsaufwendungen auf Produktivlohn</t>
    </r>
    <r>
      <rPr>
        <vertAlign val="superscript"/>
        <sz val="8"/>
        <rFont val="Verdana"/>
        <family val="2"/>
      </rPr>
      <t>5</t>
    </r>
  </si>
  <si>
    <r>
      <t>Gesetzliche Unfallversicherung</t>
    </r>
    <r>
      <rPr>
        <vertAlign val="superscript"/>
        <sz val="8"/>
        <rFont val="Verdana"/>
        <family val="2"/>
      </rPr>
      <t>6</t>
    </r>
  </si>
  <si>
    <r>
      <t>Insolvenzgeldumlage</t>
    </r>
    <r>
      <rPr>
        <vertAlign val="superscript"/>
        <sz val="8"/>
        <rFont val="Verdana"/>
        <family val="2"/>
      </rPr>
      <t>7</t>
    </r>
  </si>
  <si>
    <t xml:space="preserve">Krankenversicherung (gesetzlicher Arbeitgeberanteil): </t>
  </si>
  <si>
    <t xml:space="preserve">Rentenversicherung (gesetzlicher Arbeitgeberanteil): </t>
  </si>
  <si>
    <t xml:space="preserve">Arbeitslosenversicherung (gesetzlicher Arbeitgeberanteil): </t>
  </si>
  <si>
    <t xml:space="preserve">Pflegeversicherung (gesetzlicher Arbeitgeberanteil alle Bundesländer außer Sachsen: hier 0,5% Abzug): </t>
  </si>
  <si>
    <t>Insolvenzgeldumlage (gesetzlicher Arbeitgeberanteil - trägt der Arbeitgeber allein):</t>
  </si>
  <si>
    <t>Bundesland</t>
  </si>
  <si>
    <t>Preis für eine Reinigung 
(€)</t>
  </si>
  <si>
    <t>Reini-gungen / Jahr</t>
  </si>
  <si>
    <t>Zuschlag in Prozent</t>
  </si>
  <si>
    <t>Beitragsfreiheit in Prozent des Produktivlohns</t>
  </si>
  <si>
    <t>Nachtzu-schlag</t>
  </si>
  <si>
    <t>Zuschlag</t>
  </si>
  <si>
    <t>davon Beitragsfrei</t>
  </si>
  <si>
    <t>davon zu berücksichtigende Zuschläge für Beitragsberechnung</t>
  </si>
  <si>
    <t>Krankenversicherung auf Produktivlohn</t>
  </si>
  <si>
    <t>Rentenversicherung auf Produktivlohn</t>
  </si>
  <si>
    <t>Arbeitslosenversicherung auf Produktivlohn</t>
  </si>
  <si>
    <t>Pflegeversicherung auf Produktivlohn</t>
  </si>
  <si>
    <t>U2 Mutterschaftsaufwendungen auf Produktivlohn</t>
  </si>
  <si>
    <t>Gesetz. Unfallvers. Beitrag auf vollen Zuschlag</t>
  </si>
  <si>
    <t>Zuschläge</t>
  </si>
  <si>
    <t>Zuschläge inklusive Beiträge</t>
  </si>
  <si>
    <t>Zuschlag + Stundenverrechnungssatz Normalstunde</t>
  </si>
  <si>
    <t>Zuschlag 25.12., 26.12. und 01.05.</t>
  </si>
  <si>
    <t>M2</t>
  </si>
  <si>
    <t>M1</t>
  </si>
  <si>
    <t>J6</t>
  </si>
  <si>
    <t>J5</t>
  </si>
  <si>
    <t>J4</t>
  </si>
  <si>
    <t>J3</t>
  </si>
  <si>
    <t>J2</t>
  </si>
  <si>
    <t>J1</t>
  </si>
  <si>
    <t>J0,5</t>
  </si>
  <si>
    <t>Objektart</t>
  </si>
  <si>
    <t>nB</t>
  </si>
  <si>
    <t>Reinigungen / Jahr</t>
  </si>
  <si>
    <t>Reinigungs-
art</t>
  </si>
  <si>
    <t>Glasflächen
(einseitig gemessen)
(m²)</t>
  </si>
  <si>
    <t>Anzahl
Glasflächen
(Multiplikator)</t>
  </si>
  <si>
    <t>Steiger-
kosten 
(€)</t>
  </si>
  <si>
    <t>Reinigungstage</t>
  </si>
  <si>
    <t>Nettopreis</t>
  </si>
  <si>
    <t>Bruttopreis</t>
  </si>
  <si>
    <t>Kalkulation</t>
  </si>
  <si>
    <t>Unterhaltsreinigung</t>
  </si>
  <si>
    <t>Straße</t>
  </si>
  <si>
    <t>PLZ</t>
  </si>
  <si>
    <t>Ort</t>
  </si>
  <si>
    <t xml:space="preserve">Leistungs-werte 
(m²/h) </t>
  </si>
  <si>
    <t>Jahres- 
reinigungs-
fläche (m²)</t>
  </si>
  <si>
    <t>Lage</t>
  </si>
  <si>
    <t>Grundreinigung</t>
  </si>
  <si>
    <t>Vertragsbeginn</t>
  </si>
  <si>
    <t>Vertragsende</t>
  </si>
  <si>
    <t>Verlängerung</t>
  </si>
  <si>
    <t>max. Laufzeit bis</t>
  </si>
  <si>
    <t>Reinigungs-gruppe 
(RG)</t>
  </si>
  <si>
    <t>Unternehmen</t>
  </si>
  <si>
    <t>Telefon</t>
  </si>
  <si>
    <t>Fax</t>
  </si>
  <si>
    <t>Ansprechpartner</t>
  </si>
  <si>
    <t>E-Mailadresse</t>
  </si>
  <si>
    <t>Internetadresse</t>
  </si>
  <si>
    <t>Kurzname</t>
  </si>
  <si>
    <t>Gebäude</t>
  </si>
  <si>
    <t>Gebäudeteil</t>
  </si>
  <si>
    <t>Los</t>
  </si>
  <si>
    <t>Stunden für eine Reinigung (h)</t>
  </si>
  <si>
    <t>Anzahl 
der Räume</t>
  </si>
  <si>
    <t>Preisübersicht</t>
  </si>
  <si>
    <t>Leistungswerte 
(m²/h)</t>
  </si>
  <si>
    <t>Reinigungs-
flächen / Jahr (m²)</t>
  </si>
  <si>
    <r>
      <t xml:space="preserve">Kalkulation </t>
    </r>
    <r>
      <rPr>
        <b/>
        <sz val="8"/>
        <rFont val="Verdana"/>
        <family val="2"/>
      </rPr>
      <t>Glasreinigung</t>
    </r>
  </si>
  <si>
    <r>
      <rPr>
        <b/>
        <sz val="8"/>
        <rFont val="Verdana"/>
        <family val="2"/>
      </rPr>
      <t>Reinigungstage</t>
    </r>
    <r>
      <rPr>
        <sz val="8"/>
        <rFont val="Verdana"/>
        <family val="2"/>
      </rPr>
      <t xml:space="preserve"> pro Objekt und Reinigungsart</t>
    </r>
  </si>
  <si>
    <r>
      <rPr>
        <b/>
        <sz val="8"/>
        <rFont val="Verdana"/>
        <family val="2"/>
      </rPr>
      <t>Preisübersicht nach Bedarf</t>
    </r>
    <r>
      <rPr>
        <sz val="8"/>
        <rFont val="Verdana"/>
        <family val="2"/>
      </rPr>
      <t xml:space="preserve"> pro Jahr (in €)</t>
    </r>
  </si>
  <si>
    <r>
      <rPr>
        <b/>
        <sz val="8"/>
        <rFont val="Verdana"/>
        <family val="2"/>
      </rPr>
      <t>Preisübersicht</t>
    </r>
    <r>
      <rPr>
        <sz val="8"/>
        <rFont val="Verdana"/>
        <family val="2"/>
      </rPr>
      <t xml:space="preserve"> pro Jahr (in €)</t>
    </r>
  </si>
  <si>
    <t>maximale Reinigungstage
im Jahr für
Reinigungsintervall 5</t>
  </si>
  <si>
    <t>Reinigungsintervall</t>
  </si>
  <si>
    <t>Ausfüllhinweise 
(nur 1 Häkchen setzen):</t>
  </si>
  <si>
    <t/>
  </si>
  <si>
    <r>
      <t xml:space="preserve">Vorgaben
</t>
    </r>
    <r>
      <rPr>
        <sz val="8"/>
        <rFont val="Verdana"/>
        <family val="2"/>
      </rPr>
      <t>Die Vorgaben bei den Sozialversicherungsbeiträgen entsprechen den gesetzlichen Mindestangaben.</t>
    </r>
  </si>
  <si>
    <t>Sonn- und Feiertags-zuschlag</t>
  </si>
  <si>
    <t>Zuschlag Neujahr</t>
  </si>
  <si>
    <t>2026
in %</t>
  </si>
  <si>
    <t>Krankenversicherungzusatzbeitrag
(halber Zusatzbeitrag Arbeitgeberanteil vom durchschnittlichen Zusatzbeitrag von 2,90 %)</t>
  </si>
  <si>
    <t>GS Zeesen</t>
  </si>
  <si>
    <t>keine Lose</t>
  </si>
  <si>
    <t>Grundschule Zeesen</t>
  </si>
  <si>
    <t>Fasanenstraße 1-3</t>
  </si>
  <si>
    <t>15711</t>
  </si>
  <si>
    <t>Königs Wusterhausen</t>
  </si>
  <si>
    <t>Hort mit TH</t>
  </si>
  <si>
    <t>Hort mit Turnhalle</t>
  </si>
  <si>
    <t>Gebäudeteil 1 - 3</t>
  </si>
  <si>
    <t>Unterhaltsreinigung (Ferien)</t>
  </si>
  <si>
    <t>Unterhaltsreinigung (nach Bedarf)</t>
  </si>
  <si>
    <t>2. OG</t>
  </si>
  <si>
    <t>TH1</t>
  </si>
  <si>
    <t>Fliesen</t>
  </si>
  <si>
    <t>FK-GeWi</t>
  </si>
  <si>
    <t>Linoleum</t>
  </si>
  <si>
    <t>FK-GeWi-Vorb</t>
  </si>
  <si>
    <t>Abstell/PuMi</t>
  </si>
  <si>
    <t>Gruppenraum</t>
  </si>
  <si>
    <t>Allgemeiner Unterricht</t>
  </si>
  <si>
    <t>Vorbereitung</t>
  </si>
  <si>
    <t>WC Mädchen</t>
  </si>
  <si>
    <t>WC Barrierefrei</t>
  </si>
  <si>
    <t>WC Jungen</t>
  </si>
  <si>
    <t>FK-NaWi</t>
  </si>
  <si>
    <t>FK-NaWi-Vorb</t>
  </si>
  <si>
    <t>TH2</t>
  </si>
  <si>
    <t>VF/ Aufzugsschacht</t>
  </si>
  <si>
    <t>ohne</t>
  </si>
  <si>
    <t>TF, Laptopwagen</t>
  </si>
  <si>
    <t>Beschichtung</t>
  </si>
  <si>
    <t>Pausenaufenthalt</t>
  </si>
  <si>
    <t>Solar/ ELT</t>
  </si>
  <si>
    <t>TH3</t>
  </si>
  <si>
    <t>1. OG</t>
  </si>
  <si>
    <t>Sekretariat</t>
  </si>
  <si>
    <t>Stelv. Schulleitung</t>
  </si>
  <si>
    <t>Schulleitung</t>
  </si>
  <si>
    <t>1. Hilfe</t>
  </si>
  <si>
    <t>Lehrmittel</t>
  </si>
  <si>
    <t>Server</t>
  </si>
  <si>
    <t>WC Lehrkraft</t>
  </si>
  <si>
    <t>Lehrerzimmer</t>
  </si>
  <si>
    <t>Teeküche</t>
  </si>
  <si>
    <t>Kopierraum</t>
  </si>
  <si>
    <t>FK-Musik</t>
  </si>
  <si>
    <t>FK-Musik-Vorb</t>
  </si>
  <si>
    <t>FK-Kunst-Vorb</t>
  </si>
  <si>
    <t>FK-Kunst</t>
  </si>
  <si>
    <t>FK-WAT-Vorb</t>
  </si>
  <si>
    <t>FK-WAT</t>
  </si>
  <si>
    <t>Verkehrsfläche/ 
Flur zu Archiv</t>
  </si>
  <si>
    <t>Archiv</t>
  </si>
  <si>
    <t>HLS/WW</t>
  </si>
  <si>
    <t>ELA-Anlage</t>
  </si>
  <si>
    <t>SiBel</t>
  </si>
  <si>
    <t>BOS</t>
  </si>
  <si>
    <t>Schülervertretung</t>
  </si>
  <si>
    <t>ELT/PuMi</t>
  </si>
  <si>
    <t>Verkehrsfläche/ Flur</t>
  </si>
  <si>
    <t>TH4</t>
  </si>
  <si>
    <t>TH5</t>
  </si>
  <si>
    <t>EG</t>
  </si>
  <si>
    <t>Foyer</t>
  </si>
  <si>
    <t>Pantry</t>
  </si>
  <si>
    <t>WC Herren</t>
  </si>
  <si>
    <t>WC Damen</t>
  </si>
  <si>
    <t>Heizzentrale</t>
  </si>
  <si>
    <t>Hausmeister*in
Werkstatt</t>
  </si>
  <si>
    <t>Hausmeister*in Büro</t>
  </si>
  <si>
    <t>Bibliothek</t>
  </si>
  <si>
    <t>Textil</t>
  </si>
  <si>
    <t>Aula/Mensa</t>
  </si>
  <si>
    <t>K-Spüle</t>
  </si>
  <si>
    <t>Fliesen R11</t>
  </si>
  <si>
    <t>K-Küche</t>
  </si>
  <si>
    <t>K-Anlieferung</t>
  </si>
  <si>
    <t>K-Umkleide</t>
  </si>
  <si>
    <t>K-WC/Dusche</t>
  </si>
  <si>
    <t>Lager Aula</t>
  </si>
  <si>
    <t>Einfeldhalle 27x15m</t>
  </si>
  <si>
    <t>Sport-Linoleum</t>
  </si>
  <si>
    <t>Geräteraum</t>
  </si>
  <si>
    <t>Sportlehrer</t>
  </si>
  <si>
    <t>WC B/ 1. Hilfe</t>
  </si>
  <si>
    <t>WC</t>
  </si>
  <si>
    <t>Umkleide Damen</t>
  </si>
  <si>
    <t>Sanitär Damen</t>
  </si>
  <si>
    <t>Umkleide Herren</t>
  </si>
  <si>
    <t>Sanitär-Herren</t>
  </si>
  <si>
    <t>Elt/PuMi</t>
  </si>
  <si>
    <t>Foyer/Sporthalle</t>
  </si>
  <si>
    <t>Hausanschlussraum</t>
  </si>
  <si>
    <t>Treppe</t>
  </si>
  <si>
    <t>Unterricht</t>
  </si>
  <si>
    <t>Funktion</t>
  </si>
  <si>
    <t>Technik</t>
  </si>
  <si>
    <t>Gruppe</t>
  </si>
  <si>
    <t>Sanitär</t>
  </si>
  <si>
    <t>Verkehr</t>
  </si>
  <si>
    <t>Büro</t>
  </si>
  <si>
    <t>Versorgung</t>
  </si>
  <si>
    <t>Umkleide</t>
  </si>
  <si>
    <t>Sport</t>
  </si>
  <si>
    <t>UG</t>
  </si>
  <si>
    <t>Gebäudeteil 1</t>
  </si>
  <si>
    <t>Treppenraum</t>
  </si>
  <si>
    <t>Flur</t>
  </si>
  <si>
    <t>WC Lehrende</t>
  </si>
  <si>
    <t>Umkl. Lehrende</t>
  </si>
  <si>
    <t>Umkleiden</t>
  </si>
  <si>
    <t>WC/ Duschen</t>
  </si>
  <si>
    <t>Heizungszentrale</t>
  </si>
  <si>
    <t>Estrich</t>
  </si>
  <si>
    <t>Technikzentrale</t>
  </si>
  <si>
    <t>010a</t>
  </si>
  <si>
    <t>Elektrozentrale</t>
  </si>
  <si>
    <t>Hausanschluss</t>
  </si>
  <si>
    <t>Lager</t>
  </si>
  <si>
    <t>Umkl. Pers. Lehr.</t>
  </si>
  <si>
    <t>WC/ Dusche</t>
  </si>
  <si>
    <t>Vorraum</t>
  </si>
  <si>
    <t>Putzmittelraum</t>
  </si>
  <si>
    <t>022a</t>
  </si>
  <si>
    <t>Hortraum/ Forschung/ Kunst</t>
  </si>
  <si>
    <t>Hortraum/ Kinderwohnung</t>
  </si>
  <si>
    <t>Hortraum/ Hortküche</t>
  </si>
  <si>
    <t>Garderobe</t>
  </si>
  <si>
    <t>Aufenthalt Personal</t>
  </si>
  <si>
    <t>108a</t>
  </si>
  <si>
    <t>Aussenlager</t>
  </si>
  <si>
    <t>Windfang</t>
  </si>
  <si>
    <t>112a</t>
  </si>
  <si>
    <t>Aufzug</t>
  </si>
  <si>
    <t>OG</t>
  </si>
  <si>
    <t>201a</t>
  </si>
  <si>
    <t>Treppe v. EG</t>
  </si>
  <si>
    <t>202a</t>
  </si>
  <si>
    <t>Kreativraum</t>
  </si>
  <si>
    <t>Medienwerkstadt</t>
  </si>
  <si>
    <t>Hortraum</t>
  </si>
  <si>
    <t>Personalraum</t>
  </si>
  <si>
    <t>Hortleitung</t>
  </si>
  <si>
    <t>WC BEH/ Erzieher</t>
  </si>
  <si>
    <t>213a</t>
  </si>
  <si>
    <t>Gebäudeteil 2</t>
  </si>
  <si>
    <t>1.Hilfe, Umklei. BH</t>
  </si>
  <si>
    <t>114a</t>
  </si>
  <si>
    <t>Elektroraum</t>
  </si>
  <si>
    <t>Sporthalle</t>
  </si>
  <si>
    <t>Gebäudeteil 3</t>
  </si>
  <si>
    <t>001a</t>
  </si>
  <si>
    <t>Vorraum WC M.</t>
  </si>
  <si>
    <t>WC Personal</t>
  </si>
  <si>
    <t>Vorraum J.</t>
  </si>
  <si>
    <t>Küche</t>
  </si>
  <si>
    <t>012a</t>
  </si>
  <si>
    <t>013a</t>
  </si>
  <si>
    <t>015a</t>
  </si>
  <si>
    <t>Bilbliothek</t>
  </si>
  <si>
    <t>WC Peronal</t>
  </si>
  <si>
    <t>Vorraum WC J.</t>
  </si>
  <si>
    <t>113a</t>
  </si>
  <si>
    <t>mR</t>
  </si>
  <si>
    <t>Schule</t>
  </si>
  <si>
    <t>UnterhaltsRG</t>
  </si>
  <si>
    <t>Reinigungs-häufigkeit</t>
  </si>
  <si>
    <t>GrundRG</t>
  </si>
  <si>
    <t>GlasRG</t>
  </si>
  <si>
    <t>UnterhaltsRG (Ferien)</t>
  </si>
  <si>
    <t>UnterhaltsRG (nach Bedarf)</t>
  </si>
  <si>
    <t>Sonderreinigung (nach Bedarf)</t>
  </si>
  <si>
    <t>Kalkulation des Stundenverrechnungssatzes Sonderreinigung</t>
  </si>
  <si>
    <t>Preiszusammenstellung</t>
  </si>
  <si>
    <t>Preiszusammenstellung nach Bedarf</t>
  </si>
  <si>
    <t>MwSt.</t>
  </si>
  <si>
    <t>Jahrespreis in €</t>
  </si>
  <si>
    <t>Jahrespreis Reinigung</t>
  </si>
  <si>
    <t>Preisübersicht (nach Bedarf)</t>
  </si>
  <si>
    <t>SVS UnterhaltsRG</t>
  </si>
  <si>
    <t>SVS GrundRG</t>
  </si>
  <si>
    <t>SVS GlasRG</t>
  </si>
  <si>
    <t>Wertungspreis (netto) in €</t>
  </si>
  <si>
    <t>Wertungspreis (brutto) in €</t>
  </si>
  <si>
    <t>SVS Sonderreinigung</t>
  </si>
  <si>
    <t>Brandenburg</t>
  </si>
  <si>
    <t xml:space="preserve">Hinweise zur Ermittlung der Leistungswerte </t>
  </si>
  <si>
    <t xml:space="preserve">Grundlage bildet die Spalte H Reinigungsflächen / Jahr (m²). </t>
  </si>
  <si>
    <t xml:space="preserve">Berechnung: Reinigungsflächen / Jahr (m²) = Glasflächen (einseitig gemessen) (m²) * Anzahl Glasflächen (Multiplikator) * Reinigungen / Jahr. </t>
  </si>
  <si>
    <t xml:space="preserve">Die Leistungswerte, die für die Glasflächen (einseitig gemessen zweiseitig gereinigt) gebildet werden, müssen dann mit der Anzahl Glasflächen (Multiplikator) multipliziert werden. </t>
  </si>
  <si>
    <t xml:space="preserve">Im Preisblatt ist eine Eingabe von Steigerkosten/Kosten für Hubbühne zwingend. </t>
  </si>
  <si>
    <t>Wenn keine Steigerkosten/Kosten für Hubbühne anfallen, ist die Position mit 0 eindeutig zu kennzeichnen.</t>
  </si>
  <si>
    <t>Eine unterlassene Angabe führt gemäß § 13 Nr. 3 VOL/A bzw. § 38 Abs. 10 UVgO bzw. § 53 Abs. 7 VgV zum Ausschluss.</t>
  </si>
  <si>
    <t>Erläuterung:</t>
  </si>
  <si>
    <t>mR = Reinigung mit Rahmen</t>
  </si>
  <si>
    <t>Multiplikator</t>
  </si>
  <si>
    <t>Der Multiplikator gibt die Anzahl der zu reinigenden Flächen je Fenster bzw. je Glasfläche an.</t>
  </si>
  <si>
    <t>Steigerkosten / Reinigung:</t>
  </si>
  <si>
    <t>Die Eingabe bezieht sich auf eine Reinigung. Der Wert wird anschließend mit der Spalte 'Reinigungstage/Jahr' multipliziert.</t>
  </si>
  <si>
    <t>Reinigungstage 
 maximal
 (UnterhaltsRG,
 UnterhaltsRG (Ferien))</t>
  </si>
  <si>
    <t>Sonder-
reinigung (nach Bedarf)</t>
  </si>
  <si>
    <t>Findet eine Reinigung am 25.12., 26.12. und 01.05. statt, dann muss der Stundenverrechnungssatz angepasst werden:</t>
  </si>
  <si>
    <t>Findet eine Reinigung am Neujahrstag statt, dann muss der Stundenverrechnungssatz angepasst werden:</t>
  </si>
  <si>
    <t>Findet eine Reinigung an Sonn- und Feiertagen statt, dann muss der Stundenverrechnungssatz angepasst werden:</t>
  </si>
  <si>
    <t>Grundlage für die Berechnung ist der Stundenverrechnungssatz für Sonderreinigung:</t>
  </si>
  <si>
    <t>Unterhaltsreinigung (TeilRG)</t>
  </si>
  <si>
    <t>UnterhaltsRG (TeilRG)</t>
  </si>
  <si>
    <t>Nacht-
reinigung</t>
  </si>
  <si>
    <t>22:00 - 05:00 Uhr</t>
  </si>
  <si>
    <t>Gebäudeteil 1
Reinigung von 22:00 - 05:00 Uhr</t>
  </si>
  <si>
    <t>Gebäudeteil 2
Reinigung von 22:00 - 05:00 Uhr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</si>
</sst>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 _€_-;\-* #,##0.00\ _€_-;_-* &quot;-&quot;??\ _€_-;_-@_-"/>
    <numFmt numFmtId="165" formatCode="_-* #,##0.00\ [$€]_-;\-* #,##0.00\ [$€]_-;_-* &quot;-&quot;??\ [$€]_-;_-@_-"/>
    <numFmt numFmtId="166" formatCode="0.000"/>
    <numFmt numFmtId="167" formatCode="#,##0.000"/>
    <numFmt numFmtId="168" formatCode="#,##0_ ;\-#,##0\ "/>
    <numFmt numFmtId="169" formatCode="&quot;Bitte &quot;0&quot; Werte eintragen.&quot;"/>
    <numFmt numFmtId="170" formatCode="000"/>
  </numFmts>
  <fonts count="47" x14ac:knownFonts="1">
    <font>
      <sz val="10"/>
      <name val="Arial"/>
    </font>
    <font>
      <sz val="10"/>
      <name val="Arial"/>
      <family val="2"/>
    </font>
    <font>
      <sz val="10"/>
      <name val="Verdana"/>
      <family val="2"/>
    </font>
    <font>
      <sz val="8"/>
      <name val="Arial"/>
      <family val="2"/>
    </font>
    <font>
      <sz val="8"/>
      <name val="Verdana"/>
      <family val="2"/>
    </font>
    <font>
      <sz val="10"/>
      <name val="Arial"/>
      <family val="2"/>
    </font>
    <font>
      <i/>
      <sz val="8"/>
      <name val="Verdana"/>
      <family val="2"/>
    </font>
    <font>
      <u/>
      <sz val="10"/>
      <color indexed="12"/>
      <name val="Arial"/>
      <family val="2"/>
    </font>
    <font>
      <b/>
      <sz val="8"/>
      <name val="Verdana"/>
      <family val="2"/>
    </font>
    <font>
      <sz val="10"/>
      <name val="Arial"/>
      <family val="2"/>
    </font>
    <font>
      <u/>
      <sz val="8"/>
      <color indexed="12"/>
      <name val="Verdana"/>
      <family val="2"/>
    </font>
    <font>
      <b/>
      <sz val="18"/>
      <color indexed="56"/>
      <name val="Cambria"/>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0"/>
      <color indexed="12"/>
      <name val="Arial"/>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Verdana"/>
      <family val="2"/>
    </font>
    <font>
      <sz val="8"/>
      <color indexed="10"/>
      <name val="Verdana"/>
      <family val="2"/>
    </font>
    <font>
      <vertAlign val="superscript"/>
      <sz val="8"/>
      <name val="Verdana"/>
      <family val="2"/>
    </font>
    <font>
      <b/>
      <sz val="10"/>
      <name val="Verdana"/>
      <family val="2"/>
    </font>
    <font>
      <sz val="8"/>
      <color indexed="8"/>
      <name val="Verdana"/>
      <family val="2"/>
    </font>
    <font>
      <sz val="8"/>
      <color rgb="FFFF0000"/>
      <name val="Verdana"/>
      <family val="2"/>
    </font>
    <font>
      <sz val="11"/>
      <color rgb="FF222222"/>
      <name val="Verdana"/>
      <family val="2"/>
    </font>
    <font>
      <sz val="8"/>
      <color theme="0"/>
      <name val="Verdana"/>
      <family val="2"/>
    </font>
    <font>
      <u/>
      <sz val="10"/>
      <color theme="10"/>
      <name val="Verdana"/>
      <family val="2"/>
    </font>
    <font>
      <sz val="10"/>
      <color theme="1"/>
      <name val="Verdana"/>
      <family val="2"/>
    </font>
    <font>
      <sz val="8"/>
      <color theme="0" tint="-0.14999847407452621"/>
      <name val="Verdana"/>
      <family val="2"/>
    </font>
    <font>
      <sz val="8"/>
      <color rgb="FF000000"/>
      <name val="Segoe UI"/>
      <family val="2"/>
    </font>
    <font>
      <sz val="8"/>
      <color rgb="FF000000"/>
      <name val="Verdana"/>
      <family val="2"/>
    </font>
    <font>
      <sz val="8"/>
      <color indexed="55"/>
      <name val="Verdana"/>
      <family val="2"/>
    </font>
    <font>
      <sz val="8"/>
      <color rgb="FF9C0000"/>
      <name val="Verdana"/>
      <family val="2"/>
    </font>
    <font>
      <sz val="8"/>
      <color indexed="9"/>
      <name val="Verdana"/>
      <family val="2"/>
    </font>
    <font>
      <b/>
      <sz val="8"/>
      <color rgb="FF9C0006"/>
      <name val="Verdana"/>
      <family val="2"/>
    </font>
    <font>
      <sz val="11"/>
      <name val="Verdana"/>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rgb="FFFFFF00"/>
        <bgColor indexed="64"/>
      </patternFill>
    </fill>
    <fill>
      <patternFill patternType="solid">
        <fgColor rgb="FFD2E6C4"/>
        <bgColor indexed="64"/>
      </patternFill>
    </fill>
    <fill>
      <patternFill patternType="solid">
        <fgColor rgb="FFFFC7CE"/>
        <bgColor indexed="64"/>
      </patternFill>
    </fill>
    <fill>
      <patternFill patternType="solid">
        <fgColor indexed="50"/>
        <bgColor indexed="64"/>
      </patternFill>
    </fill>
    <fill>
      <patternFill patternType="lightGray"/>
    </fill>
    <fill>
      <patternFill patternType="solid">
        <fgColor theme="2" tint="-0.249977111117893"/>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auto="1"/>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s>
  <cellStyleXfs count="6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5" fillId="20" borderId="2" applyNumberFormat="0" applyAlignment="0" applyProtection="0"/>
    <xf numFmtId="0" fontId="16" fillId="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0" fontId="19" fillId="4"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21" fillId="21" borderId="0" applyNumberFormat="0" applyBorder="0" applyAlignment="0" applyProtection="0"/>
    <xf numFmtId="0" fontId="5" fillId="22" borderId="4" applyNumberFormat="0" applyFont="0" applyAlignment="0" applyProtection="0"/>
    <xf numFmtId="0" fontId="22" fillId="3" borderId="0" applyNumberFormat="0" applyBorder="0" applyAlignment="0" applyProtection="0"/>
    <xf numFmtId="0" fontId="5" fillId="0" borderId="0"/>
    <xf numFmtId="0" fontId="2" fillId="0" borderId="0"/>
    <xf numFmtId="0" fontId="29" fillId="0" borderId="0"/>
    <xf numFmtId="0" fontId="5" fillId="0" borderId="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0" borderId="8" applyNumberFormat="0" applyFill="0" applyAlignment="0" applyProtection="0"/>
    <xf numFmtId="0" fontId="27" fillId="0" borderId="0" applyNumberFormat="0" applyFill="0" applyBorder="0" applyAlignment="0" applyProtection="0"/>
    <xf numFmtId="0" fontId="28" fillId="23" borderId="9" applyNumberFormat="0" applyAlignment="0" applyProtection="0"/>
    <xf numFmtId="0" fontId="1" fillId="0" borderId="0"/>
    <xf numFmtId="0" fontId="37" fillId="0" borderId="0" applyNumberFormat="0" applyFill="0" applyBorder="0" applyAlignment="0" applyProtection="0"/>
    <xf numFmtId="0" fontId="38" fillId="0" borderId="0"/>
    <xf numFmtId="0" fontId="1" fillId="0" borderId="0"/>
    <xf numFmtId="0" fontId="7" fillId="0" borderId="0" applyNumberFormat="0" applyFill="0" applyBorder="0" applyAlignment="0" applyProtection="0">
      <alignment vertical="top"/>
      <protection locked="0"/>
    </xf>
  </cellStyleXfs>
  <cellXfs count="178">
    <xf numFmtId="0" fontId="0" fillId="0" borderId="0" xfId="0"/>
    <xf numFmtId="0" fontId="10" fillId="0" borderId="0" xfId="39" applyFont="1" applyAlignment="1" applyProtection="1">
      <alignment vertical="center"/>
    </xf>
    <xf numFmtId="2" fontId="8" fillId="26" borderId="11" xfId="0" applyNumberFormat="1" applyFont="1" applyFill="1" applyBorder="1" applyAlignment="1" applyProtection="1">
      <alignment horizontal="center" vertical="center"/>
      <protection locked="0"/>
    </xf>
    <xf numFmtId="166" fontId="4" fillId="26" borderId="11" xfId="0" applyNumberFormat="1" applyFont="1" applyFill="1" applyBorder="1" applyAlignment="1" applyProtection="1">
      <alignment horizontal="center" vertical="center"/>
      <protection locked="0"/>
    </xf>
    <xf numFmtId="2" fontId="6" fillId="26" borderId="13" xfId="0" applyNumberFormat="1" applyFont="1" applyFill="1" applyBorder="1" applyAlignment="1" applyProtection="1">
      <alignment vertical="center"/>
      <protection locked="0"/>
    </xf>
    <xf numFmtId="2" fontId="6" fillId="26" borderId="12" xfId="0" applyNumberFormat="1" applyFont="1" applyFill="1" applyBorder="1" applyAlignment="1" applyProtection="1">
      <alignment vertical="center"/>
      <protection locked="0"/>
    </xf>
    <xf numFmtId="2" fontId="6" fillId="26" borderId="0" xfId="0" applyNumberFormat="1" applyFont="1" applyFill="1" applyAlignment="1" applyProtection="1">
      <alignment vertical="center"/>
      <protection locked="0"/>
    </xf>
    <xf numFmtId="49" fontId="4" fillId="26" borderId="10" xfId="0" applyNumberFormat="1" applyFont="1" applyFill="1" applyBorder="1" applyAlignment="1" applyProtection="1">
      <alignment horizontal="left" vertical="center"/>
      <protection locked="0"/>
    </xf>
    <xf numFmtId="0" fontId="4" fillId="0" borderId="0" xfId="0" applyFont="1" applyAlignment="1" applyProtection="1">
      <alignment vertical="center"/>
      <protection locked="0"/>
    </xf>
    <xf numFmtId="168" fontId="4" fillId="27" borderId="10" xfId="38" applyNumberFormat="1" applyFont="1" applyFill="1" applyBorder="1" applyAlignment="1" applyProtection="1">
      <alignment horizontal="center" vertical="center"/>
      <protection locked="0"/>
    </xf>
    <xf numFmtId="168" fontId="4" fillId="0" borderId="10" xfId="38" applyNumberFormat="1" applyFont="1" applyBorder="1" applyAlignment="1" applyProtection="1">
      <alignment horizontal="center" vertical="center"/>
    </xf>
    <xf numFmtId="168" fontId="4" fillId="0" borderId="10" xfId="38" applyNumberFormat="1" applyFont="1" applyFill="1" applyBorder="1" applyAlignment="1" applyProtection="1">
      <alignment horizontal="center" vertical="center"/>
    </xf>
    <xf numFmtId="0" fontId="10" fillId="0" borderId="0" xfId="39" applyFont="1" applyAlignment="1" applyProtection="1">
      <alignment horizontal="left" vertical="center"/>
    </xf>
    <xf numFmtId="4" fontId="10" fillId="0" borderId="23" xfId="39" applyNumberFormat="1" applyFont="1" applyBorder="1" applyAlignment="1" applyProtection="1">
      <alignment vertical="center" wrapText="1"/>
    </xf>
    <xf numFmtId="0" fontId="34"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44" applyFont="1" applyAlignment="1">
      <alignment horizontal="left" vertical="center" wrapText="1"/>
    </xf>
    <xf numFmtId="0" fontId="4" fillId="0" borderId="0" xfId="0" applyFont="1" applyAlignment="1">
      <alignment horizontal="right" vertical="center" wrapText="1"/>
    </xf>
    <xf numFmtId="0" fontId="4" fillId="24" borderId="10" xfId="0" applyFont="1" applyFill="1" applyBorder="1" applyAlignment="1">
      <alignment horizontal="left" vertical="center"/>
    </xf>
    <xf numFmtId="14" fontId="4" fillId="0" borderId="10" xfId="0" applyNumberFormat="1" applyFont="1" applyBorder="1" applyAlignment="1">
      <alignment vertical="center"/>
    </xf>
    <xf numFmtId="0" fontId="39" fillId="0" borderId="0" xfId="0" applyFont="1" applyAlignment="1">
      <alignment vertical="center"/>
    </xf>
    <xf numFmtId="0" fontId="4" fillId="0" borderId="10" xfId="0" applyFont="1" applyBorder="1" applyAlignment="1">
      <alignment vertical="center"/>
    </xf>
    <xf numFmtId="0" fontId="4" fillId="24" borderId="23" xfId="0" applyFont="1" applyFill="1" applyBorder="1" applyAlignment="1">
      <alignment horizontal="center" vertical="center" wrapText="1"/>
    </xf>
    <xf numFmtId="0" fontId="4" fillId="0" borderId="23" xfId="44" applyFont="1" applyBorder="1" applyAlignment="1">
      <alignment vertical="center" wrapText="1"/>
    </xf>
    <xf numFmtId="4" fontId="4" fillId="0" borderId="23" xfId="0" applyNumberFormat="1" applyFont="1" applyBorder="1" applyAlignment="1">
      <alignment horizontal="center" vertical="center" wrapText="1"/>
    </xf>
    <xf numFmtId="4" fontId="4" fillId="0" borderId="23" xfId="0" applyNumberFormat="1" applyFont="1" applyBorder="1" applyAlignment="1">
      <alignment vertical="center" wrapText="1"/>
    </xf>
    <xf numFmtId="0" fontId="4" fillId="31" borderId="23" xfId="0" applyFont="1" applyFill="1" applyBorder="1" applyAlignment="1">
      <alignment vertical="center" wrapText="1"/>
    </xf>
    <xf numFmtId="0" fontId="4" fillId="0" borderId="0" xfId="0" applyFont="1" applyAlignment="1">
      <alignment vertical="center" wrapText="1"/>
    </xf>
    <xf numFmtId="0" fontId="36" fillId="0" borderId="0" xfId="0" applyFont="1" applyAlignment="1">
      <alignment vertical="center"/>
    </xf>
    <xf numFmtId="0" fontId="4" fillId="0" borderId="11" xfId="0" applyFont="1" applyBorder="1" applyAlignment="1">
      <alignment vertical="center"/>
    </xf>
    <xf numFmtId="0" fontId="4" fillId="0" borderId="11" xfId="0" applyFont="1" applyBorder="1" applyAlignment="1">
      <alignment horizontal="left" vertical="center"/>
    </xf>
    <xf numFmtId="0" fontId="4" fillId="24" borderId="10" xfId="0" applyFont="1" applyFill="1" applyBorder="1" applyAlignment="1">
      <alignment horizontal="center" vertical="center" wrapText="1"/>
    </xf>
    <xf numFmtId="0" fontId="4" fillId="24" borderId="14" xfId="0" applyFont="1" applyFill="1" applyBorder="1" applyAlignment="1">
      <alignment horizontal="right" vertical="center" wrapText="1"/>
    </xf>
    <xf numFmtId="0" fontId="4" fillId="24" borderId="15" xfId="0" applyFont="1" applyFill="1" applyBorder="1" applyAlignment="1">
      <alignment horizontal="center" vertical="center" wrapText="1"/>
    </xf>
    <xf numFmtId="0" fontId="4" fillId="0" borderId="14" xfId="0" applyFont="1" applyBorder="1" applyAlignment="1">
      <alignment horizontal="left" vertical="center" wrapText="1" indent="1"/>
    </xf>
    <xf numFmtId="3" fontId="4" fillId="0" borderId="15" xfId="0" applyNumberFormat="1" applyFont="1" applyBorder="1" applyAlignment="1">
      <alignment horizontal="center" vertical="center" wrapText="1"/>
    </xf>
    <xf numFmtId="4" fontId="4" fillId="0" borderId="10" xfId="0" applyNumberFormat="1" applyFont="1" applyBorder="1" applyAlignment="1">
      <alignment vertical="center" wrapText="1"/>
    </xf>
    <xf numFmtId="0" fontId="4" fillId="24" borderId="24" xfId="0" applyFont="1" applyFill="1" applyBorder="1" applyAlignment="1">
      <alignment horizontal="center" vertical="center" wrapText="1"/>
    </xf>
    <xf numFmtId="4" fontId="4" fillId="0" borderId="24" xfId="0" applyNumberFormat="1" applyFont="1" applyBorder="1" applyAlignment="1">
      <alignment vertical="center" wrapText="1"/>
    </xf>
    <xf numFmtId="2" fontId="34" fillId="0" borderId="0" xfId="0" applyNumberFormat="1" applyFont="1" applyAlignment="1">
      <alignment vertical="center"/>
    </xf>
    <xf numFmtId="0" fontId="2" fillId="0" borderId="0" xfId="0" applyFont="1" applyAlignment="1">
      <alignment vertical="center"/>
    </xf>
    <xf numFmtId="2" fontId="4" fillId="0" borderId="0" xfId="0" applyNumberFormat="1" applyFont="1" applyAlignment="1">
      <alignment vertical="center"/>
    </xf>
    <xf numFmtId="2" fontId="8" fillId="0" borderId="0" xfId="0" applyNumberFormat="1" applyFont="1" applyAlignment="1">
      <alignment vertical="center"/>
    </xf>
    <xf numFmtId="166" fontId="8" fillId="0" borderId="11" xfId="0" applyNumberFormat="1" applyFont="1" applyBorder="1" applyAlignment="1">
      <alignment horizontal="center" vertical="center"/>
    </xf>
    <xf numFmtId="0" fontId="34" fillId="0" borderId="0" xfId="0" applyFont="1" applyAlignment="1">
      <alignment vertical="center"/>
    </xf>
    <xf numFmtId="2" fontId="4" fillId="0" borderId="0" xfId="0" applyNumberFormat="1" applyFont="1" applyAlignment="1">
      <alignment horizontal="center" vertical="center"/>
    </xf>
    <xf numFmtId="2" fontId="8" fillId="0" borderId="0" xfId="0" applyNumberFormat="1" applyFont="1" applyAlignment="1">
      <alignment horizontal="center" vertical="center"/>
    </xf>
    <xf numFmtId="0" fontId="35" fillId="0" borderId="0" xfId="0" applyFont="1" applyAlignment="1">
      <alignment vertical="center"/>
    </xf>
    <xf numFmtId="2" fontId="4" fillId="0" borderId="11" xfId="0" applyNumberFormat="1" applyFont="1" applyBorder="1" applyAlignment="1">
      <alignment horizontal="center" vertical="center"/>
    </xf>
    <xf numFmtId="166" fontId="8" fillId="0" borderId="12" xfId="0" applyNumberFormat="1" applyFont="1" applyBorder="1" applyAlignment="1">
      <alignment horizontal="center" vertical="center"/>
    </xf>
    <xf numFmtId="2" fontId="8" fillId="0" borderId="12" xfId="0" applyNumberFormat="1" applyFont="1" applyBorder="1" applyAlignment="1">
      <alignment horizontal="center" vertical="center"/>
    </xf>
    <xf numFmtId="166" fontId="4" fillId="0" borderId="11" xfId="0" applyNumberFormat="1" applyFont="1" applyBorder="1" applyAlignment="1">
      <alignment horizontal="center" vertical="center"/>
    </xf>
    <xf numFmtId="167" fontId="4" fillId="0" borderId="11" xfId="0" applyNumberFormat="1" applyFont="1" applyBorder="1" applyAlignment="1">
      <alignment horizontal="center" vertical="center"/>
    </xf>
    <xf numFmtId="167" fontId="4" fillId="0" borderId="0" xfId="0" applyNumberFormat="1" applyFont="1" applyAlignment="1">
      <alignment horizontal="center" vertical="center"/>
    </xf>
    <xf numFmtId="166" fontId="8" fillId="0" borderId="0" xfId="0" applyNumberFormat="1" applyFont="1" applyAlignment="1">
      <alignment horizontal="center" vertical="center"/>
    </xf>
    <xf numFmtId="2" fontId="6" fillId="0" borderId="0" xfId="0" applyNumberFormat="1" applyFont="1" applyAlignment="1">
      <alignment vertical="center"/>
    </xf>
    <xf numFmtId="0" fontId="2" fillId="0" borderId="0" xfId="55" applyFont="1" applyAlignment="1">
      <alignment vertical="center"/>
    </xf>
    <xf numFmtId="0" fontId="4" fillId="0" borderId="10" xfId="0" applyFont="1" applyBorder="1" applyAlignment="1">
      <alignment horizontal="center" vertical="center"/>
    </xf>
    <xf numFmtId="0" fontId="4" fillId="0" borderId="10" xfId="0" applyFont="1" applyBorder="1" applyAlignment="1">
      <alignment vertical="center" wrapText="1"/>
    </xf>
    <xf numFmtId="167" fontId="4" fillId="0" borderId="10" xfId="0" applyNumberFormat="1" applyFont="1" applyBorder="1" applyAlignment="1">
      <alignment horizontal="center" vertical="center"/>
    </xf>
    <xf numFmtId="0" fontId="36" fillId="0" borderId="0" xfId="0" applyFont="1" applyAlignment="1" applyProtection="1">
      <alignment vertical="center"/>
      <protection locked="0"/>
    </xf>
    <xf numFmtId="0" fontId="30" fillId="0" borderId="0" xfId="0" applyFont="1" applyAlignment="1">
      <alignment vertical="center"/>
    </xf>
    <xf numFmtId="2" fontId="34" fillId="0" borderId="0" xfId="0" applyNumberFormat="1" applyFont="1" applyAlignment="1">
      <alignment horizontal="left" vertical="center"/>
    </xf>
    <xf numFmtId="0" fontId="4" fillId="0" borderId="0" xfId="43" applyFont="1" applyAlignment="1">
      <alignment vertical="center"/>
    </xf>
    <xf numFmtId="0" fontId="4" fillId="0" borderId="10" xfId="43" applyFont="1" applyBorder="1" applyAlignment="1">
      <alignment vertical="center"/>
    </xf>
    <xf numFmtId="2" fontId="4" fillId="0" borderId="10" xfId="43" applyNumberFormat="1" applyFont="1" applyBorder="1" applyAlignment="1">
      <alignment vertical="center"/>
    </xf>
    <xf numFmtId="0" fontId="34" fillId="0" borderId="0" xfId="0" applyFont="1" applyAlignment="1">
      <alignment vertical="center" wrapText="1"/>
    </xf>
    <xf numFmtId="0" fontId="4" fillId="0" borderId="10" xfId="43" applyFont="1" applyBorder="1" applyAlignment="1">
      <alignment horizontal="center" vertical="center" wrapText="1"/>
    </xf>
    <xf numFmtId="0" fontId="4" fillId="0" borderId="10" xfId="43" applyFont="1" applyBorder="1" applyAlignment="1">
      <alignment horizontal="center" vertical="center"/>
    </xf>
    <xf numFmtId="2" fontId="4" fillId="0" borderId="10" xfId="43" applyNumberFormat="1" applyFont="1" applyBorder="1" applyAlignment="1">
      <alignment horizontal="center" vertical="center"/>
    </xf>
    <xf numFmtId="2" fontId="8" fillId="0" borderId="10" xfId="43" applyNumberFormat="1" applyFont="1" applyBorder="1" applyAlignment="1">
      <alignment horizontal="center" vertical="center"/>
    </xf>
    <xf numFmtId="2" fontId="4" fillId="0" borderId="10" xfId="55" applyNumberFormat="1" applyFont="1" applyBorder="1" applyAlignment="1">
      <alignment horizontal="center" vertical="center"/>
    </xf>
    <xf numFmtId="2" fontId="8" fillId="0" borderId="10" xfId="55" applyNumberFormat="1" applyFont="1" applyBorder="1" applyAlignment="1">
      <alignment horizontal="center" vertical="center"/>
    </xf>
    <xf numFmtId="0" fontId="32" fillId="24" borderId="20" xfId="0" applyFont="1" applyFill="1" applyBorder="1" applyAlignment="1">
      <alignment vertical="center"/>
    </xf>
    <xf numFmtId="0" fontId="8" fillId="24" borderId="11" xfId="0" applyFont="1" applyFill="1" applyBorder="1" applyAlignment="1">
      <alignment vertical="center"/>
    </xf>
    <xf numFmtId="0" fontId="8" fillId="24" borderId="21" xfId="0" applyFont="1" applyFill="1" applyBorder="1" applyAlignment="1">
      <alignment vertical="center"/>
    </xf>
    <xf numFmtId="0" fontId="4" fillId="0" borderId="10" xfId="0" applyFont="1" applyBorder="1" applyAlignment="1">
      <alignment horizontal="center" vertical="center" wrapText="1"/>
    </xf>
    <xf numFmtId="4" fontId="4" fillId="0" borderId="10" xfId="0" applyNumberFormat="1" applyFont="1" applyBorder="1" applyAlignment="1">
      <alignment vertical="center"/>
    </xf>
    <xf numFmtId="0" fontId="4" fillId="24" borderId="14" xfId="0" applyFont="1" applyFill="1" applyBorder="1" applyAlignment="1">
      <alignment horizontal="left" vertical="center" wrapText="1"/>
    </xf>
    <xf numFmtId="0" fontId="4" fillId="24" borderId="14" xfId="0" applyFont="1" applyFill="1" applyBorder="1" applyAlignment="1">
      <alignment vertical="center" wrapText="1"/>
    </xf>
    <xf numFmtId="0" fontId="43" fillId="29" borderId="0" xfId="0" applyFont="1" applyFill="1" applyAlignment="1">
      <alignment vertical="center"/>
    </xf>
    <xf numFmtId="0" fontId="4" fillId="30" borderId="0" xfId="0" applyFont="1" applyFill="1" applyAlignment="1">
      <alignment vertical="center"/>
    </xf>
    <xf numFmtId="169" fontId="34" fillId="0" borderId="0" xfId="0" applyNumberFormat="1" applyFont="1" applyAlignment="1">
      <alignment horizontal="left" vertical="center"/>
    </xf>
    <xf numFmtId="0" fontId="4" fillId="25" borderId="10" xfId="0" applyFont="1" applyFill="1" applyBorder="1" applyAlignment="1">
      <alignment vertical="center" wrapText="1"/>
    </xf>
    <xf numFmtId="4" fontId="4" fillId="25" borderId="10" xfId="0" applyNumberFormat="1" applyFont="1" applyFill="1" applyBorder="1" applyAlignment="1">
      <alignment vertical="center" wrapText="1"/>
    </xf>
    <xf numFmtId="4" fontId="44" fillId="0" borderId="10" xfId="0" applyNumberFormat="1" applyFont="1" applyBorder="1" applyAlignment="1">
      <alignment vertical="center" wrapText="1"/>
    </xf>
    <xf numFmtId="49" fontId="4" fillId="0" borderId="10" xfId="0"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4" fontId="4" fillId="26" borderId="10" xfId="0" applyNumberFormat="1" applyFont="1" applyFill="1" applyBorder="1" applyAlignment="1" applyProtection="1">
      <alignment vertical="center"/>
      <protection locked="0"/>
    </xf>
    <xf numFmtId="4" fontId="4" fillId="26" borderId="10" xfId="0" applyNumberFormat="1" applyFont="1" applyFill="1" applyBorder="1" applyAlignment="1" applyProtection="1">
      <alignment vertical="center" wrapText="1"/>
      <protection locked="0"/>
    </xf>
    <xf numFmtId="0" fontId="43" fillId="0" borderId="0" xfId="0" applyFont="1" applyAlignment="1">
      <alignment vertical="center"/>
    </xf>
    <xf numFmtId="0" fontId="4" fillId="0" borderId="0" xfId="0" applyFont="1" applyAlignment="1">
      <alignment horizontal="center" vertical="center" wrapText="1"/>
    </xf>
    <xf numFmtId="170" fontId="41" fillId="0" borderId="10" xfId="0" applyNumberFormat="1" applyFont="1" applyBorder="1" applyAlignment="1">
      <alignment horizontal="center" vertical="center" wrapText="1" shrinkToFit="1"/>
    </xf>
    <xf numFmtId="0" fontId="4" fillId="24" borderId="10" xfId="0" applyFont="1" applyFill="1" applyBorder="1" applyAlignment="1">
      <alignment horizontal="center" vertical="center"/>
    </xf>
    <xf numFmtId="2" fontId="4" fillId="0" borderId="10" xfId="0" applyNumberFormat="1" applyFont="1" applyBorder="1" applyAlignment="1">
      <alignment horizontal="center" vertical="center" wrapText="1"/>
    </xf>
    <xf numFmtId="0" fontId="8" fillId="0" borderId="0" xfId="0" applyFont="1" applyAlignment="1">
      <alignment horizontal="right" vertical="center"/>
    </xf>
    <xf numFmtId="4" fontId="8" fillId="0" borderId="0" xfId="0" applyNumberFormat="1" applyFont="1" applyAlignment="1">
      <alignment vertical="center" wrapText="1"/>
    </xf>
    <xf numFmtId="0" fontId="4" fillId="0" borderId="0" xfId="0" applyFont="1" applyAlignment="1">
      <alignment horizontal="right" vertical="center"/>
    </xf>
    <xf numFmtId="0" fontId="6" fillId="0" borderId="0" xfId="0" applyFont="1" applyAlignment="1">
      <alignment vertical="center"/>
    </xf>
    <xf numFmtId="0" fontId="4" fillId="0" borderId="0" xfId="0" applyFont="1"/>
    <xf numFmtId="0" fontId="4" fillId="0" borderId="0" xfId="0" applyFont="1" applyAlignment="1">
      <alignment horizontal="center"/>
    </xf>
    <xf numFmtId="0" fontId="4" fillId="0" borderId="0" xfId="0" applyFont="1" applyAlignment="1">
      <alignment horizontal="left"/>
    </xf>
    <xf numFmtId="4" fontId="4" fillId="0" borderId="10" xfId="0" applyNumberFormat="1" applyFont="1" applyBorder="1" applyAlignment="1">
      <alignment horizontal="center" vertical="center"/>
    </xf>
    <xf numFmtId="0" fontId="4" fillId="0" borderId="10" xfId="0" applyFont="1" applyBorder="1"/>
    <xf numFmtId="4" fontId="33" fillId="0" borderId="10" xfId="0" applyNumberFormat="1" applyFont="1" applyBorder="1" applyAlignment="1">
      <alignment horizontal="center" vertical="center"/>
    </xf>
    <xf numFmtId="4" fontId="42" fillId="0" borderId="10" xfId="0" applyNumberFormat="1" applyFont="1" applyBorder="1" applyAlignment="1">
      <alignment horizontal="center" vertical="center"/>
    </xf>
    <xf numFmtId="4" fontId="42" fillId="31" borderId="10" xfId="0" applyNumberFormat="1" applyFont="1" applyFill="1" applyBorder="1" applyAlignment="1">
      <alignment horizontal="center" vertical="center"/>
    </xf>
    <xf numFmtId="4" fontId="42" fillId="28" borderId="10" xfId="0" applyNumberFormat="1" applyFont="1" applyFill="1" applyBorder="1" applyAlignment="1">
      <alignment horizontal="center" vertical="center"/>
    </xf>
    <xf numFmtId="4" fontId="4" fillId="28" borderId="10" xfId="0" applyNumberFormat="1" applyFont="1" applyFill="1" applyBorder="1" applyAlignment="1">
      <alignment horizontal="center" vertical="center"/>
    </xf>
    <xf numFmtId="4" fontId="4" fillId="31" borderId="10" xfId="0" applyNumberFormat="1" applyFont="1" applyFill="1" applyBorder="1" applyAlignment="1">
      <alignment horizontal="center" vertical="center"/>
    </xf>
    <xf numFmtId="0" fontId="36" fillId="0" borderId="0" xfId="0" applyFont="1" applyAlignment="1" applyProtection="1">
      <alignment horizontal="center" vertical="center"/>
      <protection locked="0"/>
    </xf>
    <xf numFmtId="0" fontId="4" fillId="0" borderId="13" xfId="0" applyFont="1" applyBorder="1" applyAlignment="1">
      <alignment horizontal="center" vertical="center" wrapText="1"/>
    </xf>
    <xf numFmtId="4" fontId="4" fillId="0" borderId="13" xfId="0" applyNumberFormat="1" applyFont="1" applyBorder="1" applyAlignment="1" applyProtection="1">
      <alignment vertical="center"/>
      <protection locked="0"/>
    </xf>
    <xf numFmtId="4" fontId="4" fillId="0" borderId="13" xfId="0" applyNumberFormat="1" applyFont="1" applyBorder="1" applyAlignment="1">
      <alignment vertical="center"/>
    </xf>
    <xf numFmtId="0" fontId="4" fillId="0" borderId="13" xfId="0" applyFont="1" applyBorder="1" applyAlignment="1">
      <alignment vertical="center"/>
    </xf>
    <xf numFmtId="4" fontId="4" fillId="0" borderId="0" xfId="0" applyNumberFormat="1" applyFont="1" applyAlignment="1" applyProtection="1">
      <alignment vertical="center"/>
      <protection locked="0"/>
    </xf>
    <xf numFmtId="4" fontId="4" fillId="0" borderId="0" xfId="0" applyNumberFormat="1" applyFont="1" applyAlignment="1">
      <alignment vertical="center"/>
    </xf>
    <xf numFmtId="0" fontId="4" fillId="0" borderId="11" xfId="0" applyFont="1" applyBorder="1" applyAlignment="1">
      <alignment horizontal="center" vertical="center" wrapText="1"/>
    </xf>
    <xf numFmtId="4" fontId="4" fillId="0" borderId="11" xfId="0" applyNumberFormat="1" applyFont="1" applyBorder="1" applyAlignment="1" applyProtection="1">
      <alignment vertical="center"/>
      <protection locked="0"/>
    </xf>
    <xf numFmtId="4" fontId="4" fillId="0" borderId="11" xfId="0" applyNumberFormat="1" applyFont="1" applyBorder="1" applyAlignment="1">
      <alignment vertical="center"/>
    </xf>
    <xf numFmtId="0" fontId="4" fillId="0" borderId="19" xfId="0" applyFont="1" applyBorder="1" applyAlignment="1">
      <alignment horizontal="left" vertical="center" wrapText="1" indent="1"/>
    </xf>
    <xf numFmtId="3" fontId="4" fillId="0" borderId="17" xfId="0" applyNumberFormat="1" applyFont="1" applyBorder="1" applyAlignment="1">
      <alignment horizontal="center" vertical="center" wrapText="1"/>
    </xf>
    <xf numFmtId="4" fontId="4" fillId="0" borderId="16" xfId="0" applyNumberFormat="1" applyFont="1" applyBorder="1" applyAlignment="1">
      <alignment vertical="center" wrapText="1"/>
    </xf>
    <xf numFmtId="4" fontId="4" fillId="31" borderId="16" xfId="0" applyNumberFormat="1" applyFont="1" applyFill="1" applyBorder="1" applyAlignment="1">
      <alignment vertical="center" wrapText="1"/>
    </xf>
    <xf numFmtId="0" fontId="46" fillId="0" borderId="0" xfId="0" applyFont="1" applyAlignment="1">
      <alignment vertical="center"/>
    </xf>
    <xf numFmtId="1" fontId="4" fillId="32" borderId="10" xfId="0" applyNumberFormat="1"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24" borderId="14" xfId="0" applyFont="1" applyFill="1" applyBorder="1" applyAlignment="1">
      <alignment horizontal="center" vertical="center" wrapText="1"/>
    </xf>
    <xf numFmtId="0" fontId="2" fillId="0" borderId="15" xfId="0" applyFont="1" applyBorder="1" applyAlignment="1">
      <alignment horizontal="center" vertical="center" wrapText="1"/>
    </xf>
    <xf numFmtId="0" fontId="4" fillId="0" borderId="24" xfId="0" applyFont="1" applyBorder="1" applyAlignment="1">
      <alignment horizontal="right" vertical="center" wrapText="1"/>
    </xf>
    <xf numFmtId="0" fontId="4" fillId="24" borderId="12"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4" fillId="24" borderId="24" xfId="0" applyFont="1" applyFill="1" applyBorder="1" applyAlignment="1">
      <alignment horizontal="center"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2" fontId="8" fillId="24" borderId="16" xfId="0" applyNumberFormat="1" applyFont="1" applyFill="1" applyBorder="1" applyAlignment="1">
      <alignment horizontal="center" vertical="center" wrapText="1"/>
    </xf>
    <xf numFmtId="2" fontId="8" fillId="24" borderId="18" xfId="0" applyNumberFormat="1" applyFont="1" applyFill="1" applyBorder="1" applyAlignment="1">
      <alignment horizontal="center" vertical="center" wrapText="1"/>
    </xf>
    <xf numFmtId="2" fontId="8" fillId="24" borderId="19" xfId="0" applyNumberFormat="1" applyFont="1" applyFill="1" applyBorder="1" applyAlignment="1">
      <alignment horizontal="center" vertical="center"/>
    </xf>
    <xf numFmtId="2" fontId="8" fillId="24" borderId="13" xfId="0" applyNumberFormat="1" applyFont="1" applyFill="1" applyBorder="1" applyAlignment="1">
      <alignment horizontal="center" vertical="center"/>
    </xf>
    <xf numFmtId="2" fontId="8" fillId="24" borderId="17" xfId="0" applyNumberFormat="1" applyFont="1" applyFill="1" applyBorder="1" applyAlignment="1">
      <alignment horizontal="center" vertical="center"/>
    </xf>
    <xf numFmtId="2" fontId="8" fillId="24" borderId="20" xfId="0" applyNumberFormat="1" applyFont="1" applyFill="1" applyBorder="1" applyAlignment="1">
      <alignment horizontal="center" vertical="center"/>
    </xf>
    <xf numFmtId="2" fontId="8" fillId="24" borderId="11" xfId="0" applyNumberFormat="1" applyFont="1" applyFill="1" applyBorder="1" applyAlignment="1">
      <alignment horizontal="center" vertical="center"/>
    </xf>
    <xf numFmtId="2" fontId="8" fillId="24" borderId="21" xfId="0" applyNumberFormat="1" applyFont="1" applyFill="1" applyBorder="1" applyAlignment="1">
      <alignment horizontal="center" vertical="center"/>
    </xf>
    <xf numFmtId="2" fontId="32" fillId="24" borderId="0" xfId="0" applyNumberFormat="1" applyFont="1" applyFill="1" applyAlignment="1">
      <alignment horizontal="left" vertical="center"/>
    </xf>
    <xf numFmtId="2" fontId="8" fillId="0" borderId="0" xfId="0" applyNumberFormat="1" applyFont="1" applyAlignment="1">
      <alignment horizontal="left" vertical="center"/>
    </xf>
    <xf numFmtId="2" fontId="8" fillId="0" borderId="0" xfId="0" applyNumberFormat="1" applyFont="1" applyAlignment="1">
      <alignment horizontal="left" vertical="center" wrapText="1"/>
    </xf>
    <xf numFmtId="0" fontId="10" fillId="0" borderId="14" xfId="39" applyFont="1" applyBorder="1" applyAlignment="1" applyProtection="1">
      <alignment horizontal="left" vertical="center"/>
    </xf>
    <xf numFmtId="0" fontId="10" fillId="0" borderId="12" xfId="39" applyFont="1" applyBorder="1" applyAlignment="1" applyProtection="1">
      <alignment horizontal="left" vertical="center"/>
    </xf>
    <xf numFmtId="0" fontId="10" fillId="0" borderId="15" xfId="39" applyFont="1" applyBorder="1" applyAlignment="1" applyProtection="1">
      <alignment horizontal="left" vertical="center"/>
    </xf>
    <xf numFmtId="0" fontId="4" fillId="0" borderId="19" xfId="0" applyFont="1" applyBorder="1" applyAlignment="1">
      <alignment horizontal="left" vertical="center" wrapText="1"/>
    </xf>
    <xf numFmtId="0" fontId="4" fillId="0" borderId="13" xfId="0" applyFont="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1" xfId="0" applyFont="1" applyBorder="1" applyAlignment="1">
      <alignment horizontal="left" vertical="center" wrapText="1"/>
    </xf>
    <xf numFmtId="0" fontId="4" fillId="0" borderId="21" xfId="0" applyFont="1" applyBorder="1" applyAlignment="1">
      <alignment horizontal="left" vertical="center" wrapText="1"/>
    </xf>
    <xf numFmtId="0" fontId="4" fillId="0" borderId="14" xfId="44"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8" fillId="0" borderId="14" xfId="44" applyFont="1" applyBorder="1" applyAlignment="1">
      <alignment horizontal="left" vertical="center"/>
    </xf>
    <xf numFmtId="0" fontId="4" fillId="0" borderId="14" xfId="0" applyFont="1" applyBorder="1" applyAlignment="1">
      <alignment horizontal="left" vertical="center"/>
    </xf>
    <xf numFmtId="49" fontId="4" fillId="0" borderId="14" xfId="44" applyNumberFormat="1" applyFont="1" applyBorder="1" applyAlignment="1">
      <alignment horizontal="left" vertical="center"/>
    </xf>
    <xf numFmtId="0" fontId="4" fillId="24" borderId="22" xfId="0" applyFont="1" applyFill="1" applyBorder="1" applyAlignment="1">
      <alignment horizontal="left" vertical="center" wrapText="1"/>
    </xf>
    <xf numFmtId="0" fontId="4" fillId="24" borderId="20" xfId="0" applyFont="1" applyFill="1" applyBorder="1" applyAlignment="1">
      <alignment horizontal="left" vertical="center" wrapText="1"/>
    </xf>
    <xf numFmtId="0" fontId="4" fillId="24" borderId="19" xfId="0" applyFont="1" applyFill="1" applyBorder="1" applyAlignment="1">
      <alignment vertical="center" wrapText="1"/>
    </xf>
    <xf numFmtId="0" fontId="4" fillId="24" borderId="13" xfId="0" applyFont="1" applyFill="1" applyBorder="1" applyAlignment="1">
      <alignment vertical="center" wrapText="1"/>
    </xf>
    <xf numFmtId="0" fontId="4" fillId="24" borderId="17" xfId="0" applyFont="1" applyFill="1" applyBorder="1" applyAlignment="1">
      <alignment vertical="center" wrapText="1"/>
    </xf>
    <xf numFmtId="0" fontId="4" fillId="24" borderId="16" xfId="0" applyFont="1" applyFill="1" applyBorder="1" applyAlignment="1">
      <alignment horizontal="center" vertical="center" wrapText="1"/>
    </xf>
    <xf numFmtId="0" fontId="4" fillId="24" borderId="18" xfId="0" applyFont="1" applyFill="1" applyBorder="1" applyAlignment="1">
      <alignment horizontal="center" vertical="center" wrapText="1"/>
    </xf>
    <xf numFmtId="0" fontId="2" fillId="0" borderId="12" xfId="0" applyFont="1" applyBorder="1" applyAlignment="1">
      <alignment horizontal="left" vertical="center"/>
    </xf>
    <xf numFmtId="0" fontId="2" fillId="0" borderId="15" xfId="0" applyFont="1" applyBorder="1" applyAlignment="1">
      <alignment horizontal="left" vertical="center"/>
    </xf>
    <xf numFmtId="0" fontId="32" fillId="0" borderId="14" xfId="44" applyFont="1" applyBorder="1" applyAlignment="1">
      <alignment horizontal="left" vertical="center"/>
    </xf>
    <xf numFmtId="0" fontId="41" fillId="0" borderId="0" xfId="0" applyFont="1" applyAlignment="1">
      <alignment horizontal="left" vertical="center" wrapText="1" readingOrder="1"/>
    </xf>
    <xf numFmtId="0" fontId="45" fillId="0" borderId="11" xfId="0" applyFont="1" applyBorder="1" applyAlignment="1">
      <alignment horizontal="center" vertical="center" wrapText="1"/>
    </xf>
    <xf numFmtId="1" fontId="4" fillId="32" borderId="24" xfId="0" applyNumberFormat="1" applyFont="1" applyFill="1" applyBorder="1" applyAlignment="1">
      <alignment horizontal="center" vertical="center" wrapText="1"/>
    </xf>
  </cellXfs>
  <cellStyles count="60">
    <cellStyle name="20% - Akzent1 2" xfId="1" xr:uid="{00000000-0005-0000-0000-000000000000}"/>
    <cellStyle name="20% - Akzent2 2" xfId="2" xr:uid="{00000000-0005-0000-0000-000001000000}"/>
    <cellStyle name="20% - Akzent3 2" xfId="3" xr:uid="{00000000-0005-0000-0000-000002000000}"/>
    <cellStyle name="20% - Akzent4 2" xfId="4" xr:uid="{00000000-0005-0000-0000-000003000000}"/>
    <cellStyle name="20% - Akzent5 2" xfId="5" xr:uid="{00000000-0005-0000-0000-000004000000}"/>
    <cellStyle name="20% - Akzent6 2" xfId="6" xr:uid="{00000000-0005-0000-0000-000005000000}"/>
    <cellStyle name="40% - Akzent1 2" xfId="7" xr:uid="{00000000-0005-0000-0000-000006000000}"/>
    <cellStyle name="40% - Akzent2 2" xfId="8" xr:uid="{00000000-0005-0000-0000-000007000000}"/>
    <cellStyle name="40% - Akzent3 2" xfId="9" xr:uid="{00000000-0005-0000-0000-000008000000}"/>
    <cellStyle name="40% - Akzent4 2" xfId="10" xr:uid="{00000000-0005-0000-0000-000009000000}"/>
    <cellStyle name="40% - Akzent5 2" xfId="11" xr:uid="{00000000-0005-0000-0000-00000A000000}"/>
    <cellStyle name="40% - Akzent6 2" xfId="12" xr:uid="{00000000-0005-0000-0000-00000B000000}"/>
    <cellStyle name="60% - Akzent1 2" xfId="13" xr:uid="{00000000-0005-0000-0000-00000C000000}"/>
    <cellStyle name="60% - Akzent2 2" xfId="14" xr:uid="{00000000-0005-0000-0000-00000D000000}"/>
    <cellStyle name="60% - Akzent3 2" xfId="15" xr:uid="{00000000-0005-0000-0000-00000E000000}"/>
    <cellStyle name="60% - Akzent4 2" xfId="16" xr:uid="{00000000-0005-0000-0000-00000F000000}"/>
    <cellStyle name="60% - Akzent5 2" xfId="17" xr:uid="{00000000-0005-0000-0000-000010000000}"/>
    <cellStyle name="60% - Akzent6 2" xfId="18" xr:uid="{00000000-0005-0000-0000-000011000000}"/>
    <cellStyle name="Akzent1 2" xfId="19" xr:uid="{00000000-0005-0000-0000-000012000000}"/>
    <cellStyle name="Akzent2 2" xfId="20" xr:uid="{00000000-0005-0000-0000-000013000000}"/>
    <cellStyle name="Akzent3 2" xfId="21" xr:uid="{00000000-0005-0000-0000-000014000000}"/>
    <cellStyle name="Akzent4 2" xfId="22" xr:uid="{00000000-0005-0000-0000-000015000000}"/>
    <cellStyle name="Akzent5 2" xfId="23" xr:uid="{00000000-0005-0000-0000-000016000000}"/>
    <cellStyle name="Akzent6 2" xfId="24" xr:uid="{00000000-0005-0000-0000-000017000000}"/>
    <cellStyle name="Ausgabe 2" xfId="25" xr:uid="{00000000-0005-0000-0000-000018000000}"/>
    <cellStyle name="Berechnung 2" xfId="26" xr:uid="{00000000-0005-0000-0000-000019000000}"/>
    <cellStyle name="Eingabe 2" xfId="27" xr:uid="{00000000-0005-0000-0000-00001A000000}"/>
    <cellStyle name="Ergebnis 2" xfId="28" xr:uid="{00000000-0005-0000-0000-00001B000000}"/>
    <cellStyle name="Erklärender Text 2" xfId="29" xr:uid="{00000000-0005-0000-0000-00001C000000}"/>
    <cellStyle name="Euro" xfId="30" xr:uid="{00000000-0005-0000-0000-00001D000000}"/>
    <cellStyle name="Euro 2" xfId="31" xr:uid="{00000000-0005-0000-0000-00001E000000}"/>
    <cellStyle name="Euro 3" xfId="32" xr:uid="{00000000-0005-0000-0000-00001F000000}"/>
    <cellStyle name="Gut 2" xfId="33" xr:uid="{00000000-0005-0000-0000-000020000000}"/>
    <cellStyle name="Hyperlink 2" xfId="34" xr:uid="{00000000-0005-0000-0000-000021000000}"/>
    <cellStyle name="Hyperlink 2 2" xfId="35" xr:uid="{00000000-0005-0000-0000-000022000000}"/>
    <cellStyle name="Hyperlink 2_Stundenverrechnungssatzkalkulation Unterhalts-Grund-Glasreinigung" xfId="36" xr:uid="{00000000-0005-0000-0000-000023000000}"/>
    <cellStyle name="Hyperlink_ERK Sicht- und Vollreinigungrf" xfId="37" xr:uid="{00000000-0005-0000-0000-000024000000}"/>
    <cellStyle name="Komma 2" xfId="38" xr:uid="{00000000-0005-0000-0000-000026000000}"/>
    <cellStyle name="Link" xfId="39" builtinId="8"/>
    <cellStyle name="Link 2" xfId="59" xr:uid="{89552312-80C8-41E8-8BC3-D0AE3C9A9E31}"/>
    <cellStyle name="Link 3" xfId="56" xr:uid="{57A2AD7F-9443-4742-9233-41E9E4ADE050}"/>
    <cellStyle name="Neutral 2" xfId="40" xr:uid="{00000000-0005-0000-0000-000028000000}"/>
    <cellStyle name="Notiz 2" xfId="41" xr:uid="{00000000-0005-0000-0000-000029000000}"/>
    <cellStyle name="Schlecht 2" xfId="42" xr:uid="{00000000-0005-0000-0000-00002A000000}"/>
    <cellStyle name="Standard" xfId="0" builtinId="0"/>
    <cellStyle name="Standard 2" xfId="43" xr:uid="{00000000-0005-0000-0000-00002C000000}"/>
    <cellStyle name="Standard 2 2" xfId="55" xr:uid="{9271D7D4-DD00-4BDA-AD8D-A2E81E1F1DC0}"/>
    <cellStyle name="Standard 3" xfId="44" xr:uid="{00000000-0005-0000-0000-00002D000000}"/>
    <cellStyle name="Standard 4" xfId="45" xr:uid="{00000000-0005-0000-0000-00002E000000}"/>
    <cellStyle name="Standard 5" xfId="46" xr:uid="{00000000-0005-0000-0000-00002F000000}"/>
    <cellStyle name="Standard 6" xfId="58" xr:uid="{4045BEC2-7581-41A7-A782-533FFF685E66}"/>
    <cellStyle name="Standard 7" xfId="57" xr:uid="{ADCBA415-3384-4DC5-B28D-34E9C91EE81E}"/>
    <cellStyle name="Überschrift 1 2" xfId="47" xr:uid="{00000000-0005-0000-0000-000031000000}"/>
    <cellStyle name="Überschrift 2 2" xfId="48" xr:uid="{00000000-0005-0000-0000-000032000000}"/>
    <cellStyle name="Überschrift 3 2" xfId="49" xr:uid="{00000000-0005-0000-0000-000033000000}"/>
    <cellStyle name="Überschrift 4 2" xfId="50" xr:uid="{00000000-0005-0000-0000-000034000000}"/>
    <cellStyle name="Überschrift 5" xfId="51" xr:uid="{00000000-0005-0000-0000-000035000000}"/>
    <cellStyle name="Verknüpfte Zelle 2" xfId="52" xr:uid="{00000000-0005-0000-0000-000036000000}"/>
    <cellStyle name="Warnender Text 2" xfId="53" xr:uid="{00000000-0005-0000-0000-000037000000}"/>
    <cellStyle name="Zelle überprüfen 2" xfId="54" xr:uid="{00000000-0005-0000-0000-000038000000}"/>
  </cellStyles>
  <dxfs count="124">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rgb="FF9C0006"/>
      </font>
      <fill>
        <patternFill>
          <bgColor rgb="FFFFC7CE"/>
        </patternFill>
      </fill>
    </dxf>
    <dxf>
      <font>
        <color theme="0"/>
      </font>
      <fill>
        <patternFill>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indexed="13"/>
        </patternFill>
      </fill>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23"/>
      <tableStyleElement type="headerRow" dxfId="122"/>
    </tableStyle>
  </tableStyles>
  <colors>
    <mruColors>
      <color rgb="FF99CC00"/>
      <color rgb="FF9C0006"/>
      <color rgb="FFFFC7CE"/>
      <color rgb="FF800000"/>
      <color rgb="FFFF0000"/>
      <color rgb="FFABFFAB"/>
      <color rgb="FF99FF99"/>
      <color rgb="FF66FF66"/>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CheckBox" fmlaLink="H3" lockText="1"/>
</file>

<file path=xl/ctrlProps/ctrlProp10.xml><?xml version="1.0" encoding="utf-8"?>
<formControlPr xmlns="http://schemas.microsoft.com/office/spreadsheetml/2009/9/main" objectType="CheckBox" fmlaLink="D1" lockText="1"/>
</file>

<file path=xl/ctrlProps/ctrlProp11.xml><?xml version="1.0" encoding="utf-8"?>
<formControlPr xmlns="http://schemas.microsoft.com/office/spreadsheetml/2009/9/main" objectType="CheckBox" fmlaLink="D2" lockText="1"/>
</file>

<file path=xl/ctrlProps/ctrlProp12.xml><?xml version="1.0" encoding="utf-8"?>
<formControlPr xmlns="http://schemas.microsoft.com/office/spreadsheetml/2009/9/main" objectType="CheckBox" fmlaLink="D1" lockText="1"/>
</file>

<file path=xl/ctrlProps/ctrlProp13.xml><?xml version="1.0" encoding="utf-8"?>
<formControlPr xmlns="http://schemas.microsoft.com/office/spreadsheetml/2009/9/main" objectType="CheckBox" fmlaLink="D2" lockText="1"/>
</file>

<file path=xl/ctrlProps/ctrlProp14.xml><?xml version="1.0" encoding="utf-8"?>
<formControlPr xmlns="http://schemas.microsoft.com/office/spreadsheetml/2009/9/main" objectType="CheckBox" fmlaLink="M2" lockText="1"/>
</file>

<file path=xl/ctrlProps/ctrlProp15.xml><?xml version="1.0" encoding="utf-8"?>
<formControlPr xmlns="http://schemas.microsoft.com/office/spreadsheetml/2009/9/main" objectType="CheckBox" fmlaLink="M3" lockText="1"/>
</file>

<file path=xl/ctrlProps/ctrlProp16.xml><?xml version="1.0" encoding="utf-8"?>
<formControlPr xmlns="http://schemas.microsoft.com/office/spreadsheetml/2009/9/main" objectType="CheckBox" fmlaLink="M4" lockText="1"/>
</file>

<file path=xl/ctrlProps/ctrlProp17.xml><?xml version="1.0" encoding="utf-8"?>
<formControlPr xmlns="http://schemas.microsoft.com/office/spreadsheetml/2009/9/main" objectType="CheckBox" fmlaLink="M5" lockText="1"/>
</file>

<file path=xl/ctrlProps/ctrlProp18.xml><?xml version="1.0" encoding="utf-8"?>
<formControlPr xmlns="http://schemas.microsoft.com/office/spreadsheetml/2009/9/main" objectType="CheckBox" fmlaLink="M2" lockText="1"/>
</file>

<file path=xl/ctrlProps/ctrlProp19.xml><?xml version="1.0" encoding="utf-8"?>
<formControlPr xmlns="http://schemas.microsoft.com/office/spreadsheetml/2009/9/main" objectType="CheckBox" fmlaLink="M3" lockText="1"/>
</file>

<file path=xl/ctrlProps/ctrlProp2.xml><?xml version="1.0" encoding="utf-8"?>
<formControlPr xmlns="http://schemas.microsoft.com/office/spreadsheetml/2009/9/main" objectType="CheckBox" fmlaLink="$H$4" lockText="1"/>
</file>

<file path=xl/ctrlProps/ctrlProp20.xml><?xml version="1.0" encoding="utf-8"?>
<formControlPr xmlns="http://schemas.microsoft.com/office/spreadsheetml/2009/9/main" objectType="CheckBox" fmlaLink="M4" lockText="1"/>
</file>

<file path=xl/ctrlProps/ctrlProp21.xml><?xml version="1.0" encoding="utf-8"?>
<formControlPr xmlns="http://schemas.microsoft.com/office/spreadsheetml/2009/9/main" objectType="CheckBox" fmlaLink="M5" lockText="1"/>
</file>

<file path=xl/ctrlProps/ctrlProp22.xml><?xml version="1.0" encoding="utf-8"?>
<formControlPr xmlns="http://schemas.microsoft.com/office/spreadsheetml/2009/9/main" objectType="CheckBox" fmlaLink="M2" lockText="1"/>
</file>

<file path=xl/ctrlProps/ctrlProp23.xml><?xml version="1.0" encoding="utf-8"?>
<formControlPr xmlns="http://schemas.microsoft.com/office/spreadsheetml/2009/9/main" objectType="CheckBox" fmlaLink="M3" lockText="1"/>
</file>

<file path=xl/ctrlProps/ctrlProp24.xml><?xml version="1.0" encoding="utf-8"?>
<formControlPr xmlns="http://schemas.microsoft.com/office/spreadsheetml/2009/9/main" objectType="CheckBox" fmlaLink="M4" lockText="1"/>
</file>

<file path=xl/ctrlProps/ctrlProp25.xml><?xml version="1.0" encoding="utf-8"?>
<formControlPr xmlns="http://schemas.microsoft.com/office/spreadsheetml/2009/9/main" objectType="CheckBox" fmlaLink="M5" lockText="1"/>
</file>

<file path=xl/ctrlProps/ctrlProp26.xml><?xml version="1.0" encoding="utf-8"?>
<formControlPr xmlns="http://schemas.microsoft.com/office/spreadsheetml/2009/9/main" objectType="CheckBox" fmlaLink="M2" lockText="1"/>
</file>

<file path=xl/ctrlProps/ctrlProp27.xml><?xml version="1.0" encoding="utf-8"?>
<formControlPr xmlns="http://schemas.microsoft.com/office/spreadsheetml/2009/9/main" objectType="CheckBox" fmlaLink="M3" lockText="1"/>
</file>

<file path=xl/ctrlProps/ctrlProp28.xml><?xml version="1.0" encoding="utf-8"?>
<formControlPr xmlns="http://schemas.microsoft.com/office/spreadsheetml/2009/9/main" objectType="CheckBox" fmlaLink="M4" lockText="1"/>
</file>

<file path=xl/ctrlProps/ctrlProp29.xml><?xml version="1.0" encoding="utf-8"?>
<formControlPr xmlns="http://schemas.microsoft.com/office/spreadsheetml/2009/9/main" objectType="CheckBox" fmlaLink="M5" lockText="1"/>
</file>

<file path=xl/ctrlProps/ctrlProp3.xml><?xml version="1.0" encoding="utf-8"?>
<formControlPr xmlns="http://schemas.microsoft.com/office/spreadsheetml/2009/9/main" objectType="CheckBox" fmlaLink="$H$5" lockText="1"/>
</file>

<file path=xl/ctrlProps/ctrlProp30.xml><?xml version="1.0" encoding="utf-8"?>
<formControlPr xmlns="http://schemas.microsoft.com/office/spreadsheetml/2009/9/main" objectType="CheckBox" fmlaLink="M2" lockText="1"/>
</file>

<file path=xl/ctrlProps/ctrlProp31.xml><?xml version="1.0" encoding="utf-8"?>
<formControlPr xmlns="http://schemas.microsoft.com/office/spreadsheetml/2009/9/main" objectType="CheckBox" fmlaLink="M3" lockText="1"/>
</file>

<file path=xl/ctrlProps/ctrlProp32.xml><?xml version="1.0" encoding="utf-8"?>
<formControlPr xmlns="http://schemas.microsoft.com/office/spreadsheetml/2009/9/main" objectType="CheckBox" fmlaLink="M4" lockText="1"/>
</file>

<file path=xl/ctrlProps/ctrlProp33.xml><?xml version="1.0" encoding="utf-8"?>
<formControlPr xmlns="http://schemas.microsoft.com/office/spreadsheetml/2009/9/main" objectType="CheckBox" fmlaLink="M5" lockText="1"/>
</file>

<file path=xl/ctrlProps/ctrlProp34.xml><?xml version="1.0" encoding="utf-8"?>
<formControlPr xmlns="http://schemas.microsoft.com/office/spreadsheetml/2009/9/main" objectType="CheckBox" fmlaLink="M2" lockText="1"/>
</file>

<file path=xl/ctrlProps/ctrlProp35.xml><?xml version="1.0" encoding="utf-8"?>
<formControlPr xmlns="http://schemas.microsoft.com/office/spreadsheetml/2009/9/main" objectType="CheckBox" fmlaLink="M3" lockText="1"/>
</file>

<file path=xl/ctrlProps/ctrlProp36.xml><?xml version="1.0" encoding="utf-8"?>
<formControlPr xmlns="http://schemas.microsoft.com/office/spreadsheetml/2009/9/main" objectType="CheckBox" fmlaLink="M4" lockText="1"/>
</file>

<file path=xl/ctrlProps/ctrlProp37.xml><?xml version="1.0" encoding="utf-8"?>
<formControlPr xmlns="http://schemas.microsoft.com/office/spreadsheetml/2009/9/main" objectType="CheckBox" fmlaLink="M5" lockText="1"/>
</file>

<file path=xl/ctrlProps/ctrlProp38.xml><?xml version="1.0" encoding="utf-8"?>
<formControlPr xmlns="http://schemas.microsoft.com/office/spreadsheetml/2009/9/main" objectType="CheckBox" fmlaLink="M2" lockText="1"/>
</file>

<file path=xl/ctrlProps/ctrlProp39.xml><?xml version="1.0" encoding="utf-8"?>
<formControlPr xmlns="http://schemas.microsoft.com/office/spreadsheetml/2009/9/main" objectType="CheckBox" fmlaLink="M3" lockText="1"/>
</file>

<file path=xl/ctrlProps/ctrlProp4.xml><?xml version="1.0" encoding="utf-8"?>
<formControlPr xmlns="http://schemas.microsoft.com/office/spreadsheetml/2009/9/main" objectType="CheckBox" fmlaLink="B2" lockText="1"/>
</file>

<file path=xl/ctrlProps/ctrlProp40.xml><?xml version="1.0" encoding="utf-8"?>
<formControlPr xmlns="http://schemas.microsoft.com/office/spreadsheetml/2009/9/main" objectType="CheckBox" fmlaLink="M4" lockText="1"/>
</file>

<file path=xl/ctrlProps/ctrlProp41.xml><?xml version="1.0" encoding="utf-8"?>
<formControlPr xmlns="http://schemas.microsoft.com/office/spreadsheetml/2009/9/main" objectType="CheckBox" fmlaLink="M5" lockText="1"/>
</file>

<file path=xl/ctrlProps/ctrlProp42.xml><?xml version="1.0" encoding="utf-8"?>
<formControlPr xmlns="http://schemas.microsoft.com/office/spreadsheetml/2009/9/main" objectType="CheckBox" fmlaLink="M2" lockText="1"/>
</file>

<file path=xl/ctrlProps/ctrlProp43.xml><?xml version="1.0" encoding="utf-8"?>
<formControlPr xmlns="http://schemas.microsoft.com/office/spreadsheetml/2009/9/main" objectType="CheckBox" fmlaLink="M3" lockText="1"/>
</file>

<file path=xl/ctrlProps/ctrlProp44.xml><?xml version="1.0" encoding="utf-8"?>
<formControlPr xmlns="http://schemas.microsoft.com/office/spreadsheetml/2009/9/main" objectType="CheckBox" fmlaLink="M4" lockText="1"/>
</file>

<file path=xl/ctrlProps/ctrlProp45.xml><?xml version="1.0" encoding="utf-8"?>
<formControlPr xmlns="http://schemas.microsoft.com/office/spreadsheetml/2009/9/main" objectType="CheckBox" fmlaLink="M5" lockText="1"/>
</file>

<file path=xl/ctrlProps/ctrlProp46.xml><?xml version="1.0" encoding="utf-8"?>
<formControlPr xmlns="http://schemas.microsoft.com/office/spreadsheetml/2009/9/main" objectType="CheckBox" fmlaLink="M2" lockText="1"/>
</file>

<file path=xl/ctrlProps/ctrlProp47.xml><?xml version="1.0" encoding="utf-8"?>
<formControlPr xmlns="http://schemas.microsoft.com/office/spreadsheetml/2009/9/main" objectType="CheckBox" fmlaLink="F2" lockText="1"/>
</file>

<file path=xl/ctrlProps/ctrlProp48.xml><?xml version="1.0" encoding="utf-8"?>
<formControlPr xmlns="http://schemas.microsoft.com/office/spreadsheetml/2009/9/main" objectType="CheckBox" fmlaLink="F3" lockText="1"/>
</file>

<file path=xl/ctrlProps/ctrlProp49.xml><?xml version="1.0" encoding="utf-8"?>
<formControlPr xmlns="http://schemas.microsoft.com/office/spreadsheetml/2009/9/main" objectType="CheckBox" fmlaLink="D1" lockText="1"/>
</file>

<file path=xl/ctrlProps/ctrlProp5.xml><?xml version="1.0" encoding="utf-8"?>
<formControlPr xmlns="http://schemas.microsoft.com/office/spreadsheetml/2009/9/main" objectType="CheckBox" fmlaLink="B2" lockText="1"/>
</file>

<file path=xl/ctrlProps/ctrlProp6.xml><?xml version="1.0" encoding="utf-8"?>
<formControlPr xmlns="http://schemas.microsoft.com/office/spreadsheetml/2009/9/main" objectType="CheckBox" fmlaLink="D1" lockText="1"/>
</file>

<file path=xl/ctrlProps/ctrlProp7.xml><?xml version="1.0" encoding="utf-8"?>
<formControlPr xmlns="http://schemas.microsoft.com/office/spreadsheetml/2009/9/main" objectType="CheckBox" fmlaLink="D2" lockText="1"/>
</file>

<file path=xl/ctrlProps/ctrlProp8.xml><?xml version="1.0" encoding="utf-8"?>
<formControlPr xmlns="http://schemas.microsoft.com/office/spreadsheetml/2009/9/main" objectType="CheckBox" fmlaLink="D1" lockText="1"/>
</file>

<file path=xl/ctrlProps/ctrlProp9.xml><?xml version="1.0" encoding="utf-8"?>
<formControlPr xmlns="http://schemas.microsoft.com/office/spreadsheetml/2009/9/main" objectType="CheckBox" fmlaLink="D2"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0</xdr:rowOff>
        </xdr:from>
        <xdr:to>
          <xdr:col>7</xdr:col>
          <xdr:colOff>790575</xdr:colOff>
          <xdr:row>3</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790575</xdr:colOff>
          <xdr:row>4</xdr:row>
          <xdr:rowOff>28575</xdr:rowOff>
        </xdr:to>
        <xdr:sp macro="" textlink="">
          <xdr:nvSpPr>
            <xdr:cNvPr id="1026" name="Check Box 2" descr="Hinweis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19050</xdr:rowOff>
        </xdr:from>
        <xdr:to>
          <xdr:col>7</xdr:col>
          <xdr:colOff>790575</xdr:colOff>
          <xdr:row>5</xdr:row>
          <xdr:rowOff>57150</xdr:rowOff>
        </xdr:to>
        <xdr:sp macro="" textlink="">
          <xdr:nvSpPr>
            <xdr:cNvPr id="1027" name="Check Box 3" descr="Hinweis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0900-000001B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110594" name="Check Box 2" descr="Hinweis 2" hidden="1">
              <a:extLst>
                <a:ext uri="{63B3BB69-23CF-44E3-9099-C40C66FF867C}">
                  <a14:compatExt spid="_x0000_s110594"/>
                </a:ext>
                <a:ext uri="{FF2B5EF4-FFF2-40B4-BE49-F238E27FC236}">
                  <a16:creationId xmlns:a16="http://schemas.microsoft.com/office/drawing/2014/main" id="{00000000-0008-0000-0900-000002B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110595" name="Check Box 3" descr="Hinweis 3" hidden="1">
              <a:extLst>
                <a:ext uri="{63B3BB69-23CF-44E3-9099-C40C66FF867C}">
                  <a14:compatExt spid="_x0000_s110595"/>
                </a:ext>
                <a:ext uri="{FF2B5EF4-FFF2-40B4-BE49-F238E27FC236}">
                  <a16:creationId xmlns:a16="http://schemas.microsoft.com/office/drawing/2014/main" id="{00000000-0008-0000-0900-000003B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110596" name="Check Box 4" descr="Hinweis 3" hidden="1">
              <a:extLst>
                <a:ext uri="{63B3BB69-23CF-44E3-9099-C40C66FF867C}">
                  <a14:compatExt spid="_x0000_s110596"/>
                </a:ext>
                <a:ext uri="{FF2B5EF4-FFF2-40B4-BE49-F238E27FC236}">
                  <a16:creationId xmlns:a16="http://schemas.microsoft.com/office/drawing/2014/main" id="{00000000-0008-0000-0900-000004B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112641" name="Check Box 1" hidden="1">
              <a:extLst>
                <a:ext uri="{63B3BB69-23CF-44E3-9099-C40C66FF867C}">
                  <a14:compatExt spid="_x0000_s112641"/>
                </a:ext>
                <a:ext uri="{FF2B5EF4-FFF2-40B4-BE49-F238E27FC236}">
                  <a16:creationId xmlns:a16="http://schemas.microsoft.com/office/drawing/2014/main" id="{00000000-0008-0000-0A00-000001B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112642" name="Check Box 2" descr="Hinweis 2" hidden="1">
              <a:extLst>
                <a:ext uri="{63B3BB69-23CF-44E3-9099-C40C66FF867C}">
                  <a14:compatExt spid="_x0000_s112642"/>
                </a:ext>
                <a:ext uri="{FF2B5EF4-FFF2-40B4-BE49-F238E27FC236}">
                  <a16:creationId xmlns:a16="http://schemas.microsoft.com/office/drawing/2014/main" id="{00000000-0008-0000-0A00-000002B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112643" name="Check Box 3" descr="Hinweis 3" hidden="1">
              <a:extLst>
                <a:ext uri="{63B3BB69-23CF-44E3-9099-C40C66FF867C}">
                  <a14:compatExt spid="_x0000_s112643"/>
                </a:ext>
                <a:ext uri="{FF2B5EF4-FFF2-40B4-BE49-F238E27FC236}">
                  <a16:creationId xmlns:a16="http://schemas.microsoft.com/office/drawing/2014/main" id="{00000000-0008-0000-0A00-000003B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112644" name="Check Box 4" descr="Hinweis 3" hidden="1">
              <a:extLst>
                <a:ext uri="{63B3BB69-23CF-44E3-9099-C40C66FF867C}">
                  <a14:compatExt spid="_x0000_s112644"/>
                </a:ext>
                <a:ext uri="{FF2B5EF4-FFF2-40B4-BE49-F238E27FC236}">
                  <a16:creationId xmlns:a16="http://schemas.microsoft.com/office/drawing/2014/main" id="{00000000-0008-0000-0A00-000004B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0B00-000001A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107522" name="Check Box 2" descr="Hinweis 2" hidden="1">
              <a:extLst>
                <a:ext uri="{63B3BB69-23CF-44E3-9099-C40C66FF867C}">
                  <a14:compatExt spid="_x0000_s107522"/>
                </a:ext>
                <a:ext uri="{FF2B5EF4-FFF2-40B4-BE49-F238E27FC236}">
                  <a16:creationId xmlns:a16="http://schemas.microsoft.com/office/drawing/2014/main" id="{00000000-0008-0000-0B00-000002A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107523" name="Check Box 3" descr="Hinweis 3" hidden="1">
              <a:extLst>
                <a:ext uri="{63B3BB69-23CF-44E3-9099-C40C66FF867C}">
                  <a14:compatExt spid="_x0000_s107523"/>
                </a:ext>
                <a:ext uri="{FF2B5EF4-FFF2-40B4-BE49-F238E27FC236}">
                  <a16:creationId xmlns:a16="http://schemas.microsoft.com/office/drawing/2014/main" id="{00000000-0008-0000-0B00-000003A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107524" name="Check Box 4" descr="Hinweis 3" hidden="1">
              <a:extLst>
                <a:ext uri="{63B3BB69-23CF-44E3-9099-C40C66FF867C}">
                  <a14:compatExt spid="_x0000_s107524"/>
                </a:ext>
                <a:ext uri="{FF2B5EF4-FFF2-40B4-BE49-F238E27FC236}">
                  <a16:creationId xmlns:a16="http://schemas.microsoft.com/office/drawing/2014/main" id="{00000000-0008-0000-0B00-000004A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109569" name="Check Box 1" hidden="1">
              <a:extLst>
                <a:ext uri="{63B3BB69-23CF-44E3-9099-C40C66FF867C}">
                  <a14:compatExt spid="_x0000_s109569"/>
                </a:ext>
                <a:ext uri="{FF2B5EF4-FFF2-40B4-BE49-F238E27FC236}">
                  <a16:creationId xmlns:a16="http://schemas.microsoft.com/office/drawing/2014/main" id="{00000000-0008-0000-0C00-000001A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238125</xdr:rowOff>
        </xdr:from>
        <xdr:to>
          <xdr:col>13</xdr:col>
          <xdr:colOff>0</xdr:colOff>
          <xdr:row>2</xdr:row>
          <xdr:rowOff>209550</xdr:rowOff>
        </xdr:to>
        <xdr:sp macro="" textlink="">
          <xdr:nvSpPr>
            <xdr:cNvPr id="109570" name="Check Box 2" descr="Hinweis 2" hidden="1">
              <a:extLst>
                <a:ext uri="{63B3BB69-23CF-44E3-9099-C40C66FF867C}">
                  <a14:compatExt spid="_x0000_s109570"/>
                </a:ext>
                <a:ext uri="{FF2B5EF4-FFF2-40B4-BE49-F238E27FC236}">
                  <a16:creationId xmlns:a16="http://schemas.microsoft.com/office/drawing/2014/main" id="{00000000-0008-0000-0C00-000002A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219075</xdr:rowOff>
        </xdr:from>
        <xdr:to>
          <xdr:col>13</xdr:col>
          <xdr:colOff>0</xdr:colOff>
          <xdr:row>3</xdr:row>
          <xdr:rowOff>142875</xdr:rowOff>
        </xdr:to>
        <xdr:sp macro="" textlink="">
          <xdr:nvSpPr>
            <xdr:cNvPr id="109571" name="Check Box 3" descr="Hinweis 3" hidden="1">
              <a:extLst>
                <a:ext uri="{63B3BB69-23CF-44E3-9099-C40C66FF867C}">
                  <a14:compatExt spid="_x0000_s109571"/>
                </a:ext>
                <a:ext uri="{FF2B5EF4-FFF2-40B4-BE49-F238E27FC236}">
                  <a16:creationId xmlns:a16="http://schemas.microsoft.com/office/drawing/2014/main" id="{00000000-0008-0000-0C00-000003A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109572" name="Check Box 4" descr="Hinweis 3" hidden="1">
              <a:extLst>
                <a:ext uri="{63B3BB69-23CF-44E3-9099-C40C66FF867C}">
                  <a14:compatExt spid="_x0000_s109572"/>
                </a:ext>
                <a:ext uri="{FF2B5EF4-FFF2-40B4-BE49-F238E27FC236}">
                  <a16:creationId xmlns:a16="http://schemas.microsoft.com/office/drawing/2014/main" id="{00000000-0008-0000-0C00-000004A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111617" name="Check Box 1" hidden="1">
              <a:extLst>
                <a:ext uri="{63B3BB69-23CF-44E3-9099-C40C66FF867C}">
                  <a14:compatExt spid="_x0000_s111617"/>
                </a:ext>
                <a:ext uri="{FF2B5EF4-FFF2-40B4-BE49-F238E27FC236}">
                  <a16:creationId xmlns:a16="http://schemas.microsoft.com/office/drawing/2014/main" id="{00000000-0008-0000-0D00-000001B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111618" name="Check Box 2" descr="Hinweis 2" hidden="1">
              <a:extLst>
                <a:ext uri="{63B3BB69-23CF-44E3-9099-C40C66FF867C}">
                  <a14:compatExt spid="_x0000_s111618"/>
                </a:ext>
                <a:ext uri="{FF2B5EF4-FFF2-40B4-BE49-F238E27FC236}">
                  <a16:creationId xmlns:a16="http://schemas.microsoft.com/office/drawing/2014/main" id="{00000000-0008-0000-0D00-000002B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111619" name="Check Box 3" descr="Hinweis 3" hidden="1">
              <a:extLst>
                <a:ext uri="{63B3BB69-23CF-44E3-9099-C40C66FF867C}">
                  <a14:compatExt spid="_x0000_s111619"/>
                </a:ext>
                <a:ext uri="{FF2B5EF4-FFF2-40B4-BE49-F238E27FC236}">
                  <a16:creationId xmlns:a16="http://schemas.microsoft.com/office/drawing/2014/main" id="{00000000-0008-0000-0D00-000003B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111620" name="Check Box 4" descr="Hinweis 3" hidden="1">
              <a:extLst>
                <a:ext uri="{63B3BB69-23CF-44E3-9099-C40C66FF867C}">
                  <a14:compatExt spid="_x0000_s111620"/>
                </a:ext>
                <a:ext uri="{FF2B5EF4-FFF2-40B4-BE49-F238E27FC236}">
                  <a16:creationId xmlns:a16="http://schemas.microsoft.com/office/drawing/2014/main" id="{00000000-0008-0000-0D00-000004B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552450</xdr:colOff>
          <xdr:row>0</xdr:row>
          <xdr:rowOff>180975</xdr:rowOff>
        </xdr:from>
        <xdr:to>
          <xdr:col>12</xdr:col>
          <xdr:colOff>771525</xdr:colOff>
          <xdr:row>1</xdr:row>
          <xdr:rowOff>238125</xdr:rowOff>
        </xdr:to>
        <xdr:sp macro="" textlink="">
          <xdr:nvSpPr>
            <xdr:cNvPr id="113665" name="Check Box 1" hidden="1">
              <a:extLst>
                <a:ext uri="{63B3BB69-23CF-44E3-9099-C40C66FF867C}">
                  <a14:compatExt spid="_x0000_s113665"/>
                </a:ext>
                <a:ext uri="{FF2B5EF4-FFF2-40B4-BE49-F238E27FC236}">
                  <a16:creationId xmlns:a16="http://schemas.microsoft.com/office/drawing/2014/main" id="{00000000-0008-0000-0E00-000001B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552450</xdr:colOff>
          <xdr:row>1</xdr:row>
          <xdr:rowOff>238125</xdr:rowOff>
        </xdr:from>
        <xdr:to>
          <xdr:col>12</xdr:col>
          <xdr:colOff>771525</xdr:colOff>
          <xdr:row>2</xdr:row>
          <xdr:rowOff>219075</xdr:rowOff>
        </xdr:to>
        <xdr:sp macro="" textlink="">
          <xdr:nvSpPr>
            <xdr:cNvPr id="113666" name="Check Box 2" descr="Hinweis 2" hidden="1">
              <a:extLst>
                <a:ext uri="{63B3BB69-23CF-44E3-9099-C40C66FF867C}">
                  <a14:compatExt spid="_x0000_s113666"/>
                </a:ext>
                <a:ext uri="{FF2B5EF4-FFF2-40B4-BE49-F238E27FC236}">
                  <a16:creationId xmlns:a16="http://schemas.microsoft.com/office/drawing/2014/main" id="{00000000-0008-0000-0E00-000002B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552450</xdr:colOff>
          <xdr:row>2</xdr:row>
          <xdr:rowOff>228600</xdr:rowOff>
        </xdr:from>
        <xdr:to>
          <xdr:col>12</xdr:col>
          <xdr:colOff>771525</xdr:colOff>
          <xdr:row>4</xdr:row>
          <xdr:rowOff>9525</xdr:rowOff>
        </xdr:to>
        <xdr:sp macro="" textlink="">
          <xdr:nvSpPr>
            <xdr:cNvPr id="113667" name="Check Box 3" descr="Hinweis 3" hidden="1">
              <a:extLst>
                <a:ext uri="{63B3BB69-23CF-44E3-9099-C40C66FF867C}">
                  <a14:compatExt spid="_x0000_s113667"/>
                </a:ext>
                <a:ext uri="{FF2B5EF4-FFF2-40B4-BE49-F238E27FC236}">
                  <a16:creationId xmlns:a16="http://schemas.microsoft.com/office/drawing/2014/main" id="{00000000-0008-0000-0E00-000003B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552450</xdr:colOff>
          <xdr:row>4</xdr:row>
          <xdr:rowOff>19050</xdr:rowOff>
        </xdr:from>
        <xdr:to>
          <xdr:col>12</xdr:col>
          <xdr:colOff>771525</xdr:colOff>
          <xdr:row>5</xdr:row>
          <xdr:rowOff>76200</xdr:rowOff>
        </xdr:to>
        <xdr:sp macro="" textlink="">
          <xdr:nvSpPr>
            <xdr:cNvPr id="113668" name="Check Box 4" descr="Hinweis 3" hidden="1">
              <a:extLst>
                <a:ext uri="{63B3BB69-23CF-44E3-9099-C40C66FF867C}">
                  <a14:compatExt spid="_x0000_s113668"/>
                </a:ext>
                <a:ext uri="{FF2B5EF4-FFF2-40B4-BE49-F238E27FC236}">
                  <a16:creationId xmlns:a16="http://schemas.microsoft.com/office/drawing/2014/main" id="{00000000-0008-0000-0E00-000004B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119809" name="Check Box 1" hidden="1">
              <a:extLst>
                <a:ext uri="{63B3BB69-23CF-44E3-9099-C40C66FF867C}">
                  <a14:compatExt spid="_x0000_s119809"/>
                </a:ext>
                <a:ext uri="{FF2B5EF4-FFF2-40B4-BE49-F238E27FC236}">
                  <a16:creationId xmlns:a16="http://schemas.microsoft.com/office/drawing/2014/main" id="{00000000-0008-0000-0F00-000001D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1</xdr:row>
          <xdr:rowOff>76200</xdr:rowOff>
        </xdr:from>
        <xdr:to>
          <xdr:col>5</xdr:col>
          <xdr:colOff>819150</xdr:colOff>
          <xdr:row>1</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000-0000019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xdr:row>
          <xdr:rowOff>0</xdr:rowOff>
        </xdr:from>
        <xdr:to>
          <xdr:col>5</xdr:col>
          <xdr:colOff>819150</xdr:colOff>
          <xdr:row>2</xdr:row>
          <xdr:rowOff>228600</xdr:rowOff>
        </xdr:to>
        <xdr:sp macro="" textlink="">
          <xdr:nvSpPr>
            <xdr:cNvPr id="36866" name="Check Box 2" descr="Hinweis 2" hidden="1">
              <a:extLst>
                <a:ext uri="{63B3BB69-23CF-44E3-9099-C40C66FF867C}">
                  <a14:compatExt spid="_x0000_s36866"/>
                </a:ext>
                <a:ext uri="{FF2B5EF4-FFF2-40B4-BE49-F238E27FC236}">
                  <a16:creationId xmlns:a16="http://schemas.microsoft.com/office/drawing/2014/main" id="{00000000-0008-0000-1000-0000029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0</xdr:row>
          <xdr:rowOff>247650</xdr:rowOff>
        </xdr:from>
        <xdr:to>
          <xdr:col>3</xdr:col>
          <xdr:colOff>809625</xdr:colOff>
          <xdr:row>1</xdr:row>
          <xdr:rowOff>114300</xdr:rowOff>
        </xdr:to>
        <xdr:sp macro="" textlink="">
          <xdr:nvSpPr>
            <xdr:cNvPr id="41985" name="Check Box 1" descr="Hinweis" hidden="1">
              <a:extLst>
                <a:ext uri="{63B3BB69-23CF-44E3-9099-C40C66FF867C}">
                  <a14:compatExt spid="_x0000_s41985"/>
                </a:ext>
                <a:ext uri="{FF2B5EF4-FFF2-40B4-BE49-F238E27FC236}">
                  <a16:creationId xmlns:a16="http://schemas.microsoft.com/office/drawing/2014/main" id="{00000000-0008-0000-1100-000001A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1</xdr:row>
          <xdr:rowOff>28575</xdr:rowOff>
        </xdr:from>
        <xdr:to>
          <xdr:col>1</xdr:col>
          <xdr:colOff>933450</xdr:colOff>
          <xdr:row>1</xdr:row>
          <xdr:rowOff>285750</xdr:rowOff>
        </xdr:to>
        <xdr:sp macro="" textlink="">
          <xdr:nvSpPr>
            <xdr:cNvPr id="2050" name="Check Box 2" descr="Hinweis"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1</xdr:row>
          <xdr:rowOff>19050</xdr:rowOff>
        </xdr:from>
        <xdr:to>
          <xdr:col>1</xdr:col>
          <xdr:colOff>971550</xdr:colOff>
          <xdr:row>1</xdr:row>
          <xdr:rowOff>276225</xdr:rowOff>
        </xdr:to>
        <xdr:sp macro="" textlink="">
          <xdr:nvSpPr>
            <xdr:cNvPr id="3073" name="Check Box 1" descr="Hinweis"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2914650</xdr:colOff>
          <xdr:row>0</xdr:row>
          <xdr:rowOff>123825</xdr:rowOff>
        </xdr:from>
        <xdr:to>
          <xdr:col>3</xdr:col>
          <xdr:colOff>552450</xdr:colOff>
          <xdr:row>0</xdr:row>
          <xdr:rowOff>409575</xdr:rowOff>
        </xdr:to>
        <xdr:sp macro="" textlink="">
          <xdr:nvSpPr>
            <xdr:cNvPr id="26626" name="Check Box 2" descr="Hinweis" hidden="1">
              <a:extLst>
                <a:ext uri="{63B3BB69-23CF-44E3-9099-C40C66FF867C}">
                  <a14:compatExt spid="_x0000_s26626"/>
                </a:ext>
                <a:ext uri="{FF2B5EF4-FFF2-40B4-BE49-F238E27FC236}">
                  <a16:creationId xmlns:a16="http://schemas.microsoft.com/office/drawing/2014/main" id="{00000000-0008-0000-0300-000002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2914650</xdr:colOff>
          <xdr:row>0</xdr:row>
          <xdr:rowOff>428625</xdr:rowOff>
        </xdr:from>
        <xdr:to>
          <xdr:col>3</xdr:col>
          <xdr:colOff>552450</xdr:colOff>
          <xdr:row>1</xdr:row>
          <xdr:rowOff>276225</xdr:rowOff>
        </xdr:to>
        <xdr:sp macro="" textlink="">
          <xdr:nvSpPr>
            <xdr:cNvPr id="26628" name="Check Box 4" descr="Hinweis" hidden="1">
              <a:extLst>
                <a:ext uri="{63B3BB69-23CF-44E3-9099-C40C66FF867C}">
                  <a14:compatExt spid="_x0000_s26628"/>
                </a:ext>
                <a:ext uri="{FF2B5EF4-FFF2-40B4-BE49-F238E27FC236}">
                  <a16:creationId xmlns:a16="http://schemas.microsoft.com/office/drawing/2014/main" id="{00000000-0008-0000-0300-000004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2914650</xdr:colOff>
          <xdr:row>0</xdr:row>
          <xdr:rowOff>95250</xdr:rowOff>
        </xdr:from>
        <xdr:to>
          <xdr:col>3</xdr:col>
          <xdr:colOff>552450</xdr:colOff>
          <xdr:row>0</xdr:row>
          <xdr:rowOff>381000</xdr:rowOff>
        </xdr:to>
        <xdr:sp macro="" textlink="">
          <xdr:nvSpPr>
            <xdr:cNvPr id="27649" name="Check Box 1" descr="Hinweis"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2914650</xdr:colOff>
          <xdr:row>0</xdr:row>
          <xdr:rowOff>400050</xdr:rowOff>
        </xdr:from>
        <xdr:to>
          <xdr:col>3</xdr:col>
          <xdr:colOff>552450</xdr:colOff>
          <xdr:row>1</xdr:row>
          <xdr:rowOff>257175</xdr:rowOff>
        </xdr:to>
        <xdr:sp macro="" textlink="">
          <xdr:nvSpPr>
            <xdr:cNvPr id="27650" name="Check Box 2" descr="Hinweis" hidden="1">
              <a:extLst>
                <a:ext uri="{63B3BB69-23CF-44E3-9099-C40C66FF867C}">
                  <a14:compatExt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2924175</xdr:colOff>
          <xdr:row>0</xdr:row>
          <xdr:rowOff>123825</xdr:rowOff>
        </xdr:from>
        <xdr:to>
          <xdr:col>3</xdr:col>
          <xdr:colOff>561975</xdr:colOff>
          <xdr:row>0</xdr:row>
          <xdr:rowOff>409575</xdr:rowOff>
        </xdr:to>
        <xdr:sp macro="" textlink="">
          <xdr:nvSpPr>
            <xdr:cNvPr id="28673" name="Check Box 1" descr="Hinweis" hidden="1">
              <a:extLst>
                <a:ext uri="{63B3BB69-23CF-44E3-9099-C40C66FF867C}">
                  <a14:compatExt spid="_x0000_s28673"/>
                </a:ext>
                <a:ext uri="{FF2B5EF4-FFF2-40B4-BE49-F238E27FC236}">
                  <a16:creationId xmlns:a16="http://schemas.microsoft.com/office/drawing/2014/main" id="{00000000-0008-0000-0500-0000017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2924175</xdr:colOff>
          <xdr:row>0</xdr:row>
          <xdr:rowOff>419100</xdr:rowOff>
        </xdr:from>
        <xdr:to>
          <xdr:col>3</xdr:col>
          <xdr:colOff>561975</xdr:colOff>
          <xdr:row>1</xdr:row>
          <xdr:rowOff>276225</xdr:rowOff>
        </xdr:to>
        <xdr:sp macro="" textlink="">
          <xdr:nvSpPr>
            <xdr:cNvPr id="28674" name="Check Box 2" descr="Hinweis" hidden="1">
              <a:extLst>
                <a:ext uri="{63B3BB69-23CF-44E3-9099-C40C66FF867C}">
                  <a14:compatExt spid="_x0000_s28674"/>
                </a:ext>
                <a:ext uri="{FF2B5EF4-FFF2-40B4-BE49-F238E27FC236}">
                  <a16:creationId xmlns:a16="http://schemas.microsoft.com/office/drawing/2014/main" id="{00000000-0008-0000-0500-0000027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2905125</xdr:colOff>
          <xdr:row>0</xdr:row>
          <xdr:rowOff>142875</xdr:rowOff>
        </xdr:from>
        <xdr:to>
          <xdr:col>3</xdr:col>
          <xdr:colOff>542925</xdr:colOff>
          <xdr:row>1</xdr:row>
          <xdr:rowOff>0</xdr:rowOff>
        </xdr:to>
        <xdr:sp macro="" textlink="">
          <xdr:nvSpPr>
            <xdr:cNvPr id="29699" name="Check Box 3" descr="Hinweis" hidden="1">
              <a:extLst>
                <a:ext uri="{63B3BB69-23CF-44E3-9099-C40C66FF867C}">
                  <a14:compatExt spid="_x0000_s29699"/>
                </a:ext>
                <a:ext uri="{FF2B5EF4-FFF2-40B4-BE49-F238E27FC236}">
                  <a16:creationId xmlns:a16="http://schemas.microsoft.com/office/drawing/2014/main" id="{00000000-0008-0000-0600-0000037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2905125</xdr:colOff>
          <xdr:row>1</xdr:row>
          <xdr:rowOff>19050</xdr:rowOff>
        </xdr:from>
        <xdr:to>
          <xdr:col>3</xdr:col>
          <xdr:colOff>542925</xdr:colOff>
          <xdr:row>1</xdr:row>
          <xdr:rowOff>304800</xdr:rowOff>
        </xdr:to>
        <xdr:sp macro="" textlink="">
          <xdr:nvSpPr>
            <xdr:cNvPr id="29700" name="Check Box 4" descr="Hinweis" hidden="1">
              <a:extLst>
                <a:ext uri="{63B3BB69-23CF-44E3-9099-C40C66FF867C}">
                  <a14:compatExt spid="_x0000_s29700"/>
                </a:ext>
                <a:ext uri="{FF2B5EF4-FFF2-40B4-BE49-F238E27FC236}">
                  <a16:creationId xmlns:a16="http://schemas.microsoft.com/office/drawing/2014/main" id="{00000000-0008-0000-0600-0000047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19050</xdr:colOff>
          <xdr:row>1</xdr:row>
          <xdr:rowOff>38100</xdr:rowOff>
        </xdr:from>
        <xdr:to>
          <xdr:col>12</xdr:col>
          <xdr:colOff>809625</xdr:colOff>
          <xdr:row>2</xdr:row>
          <xdr:rowOff>19050</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0700-000001A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xdr:row>
          <xdr:rowOff>19050</xdr:rowOff>
        </xdr:from>
        <xdr:to>
          <xdr:col>12</xdr:col>
          <xdr:colOff>809625</xdr:colOff>
          <xdr:row>2</xdr:row>
          <xdr:rowOff>266700</xdr:rowOff>
        </xdr:to>
        <xdr:sp macro="" textlink="">
          <xdr:nvSpPr>
            <xdr:cNvPr id="106498" name="Check Box 2" descr="Hinweis 2" hidden="1">
              <a:extLst>
                <a:ext uri="{63B3BB69-23CF-44E3-9099-C40C66FF867C}">
                  <a14:compatExt spid="_x0000_s106498"/>
                </a:ext>
                <a:ext uri="{FF2B5EF4-FFF2-40B4-BE49-F238E27FC236}">
                  <a16:creationId xmlns:a16="http://schemas.microsoft.com/office/drawing/2014/main" id="{00000000-0008-0000-0700-000002A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xdr:row>
          <xdr:rowOff>9525</xdr:rowOff>
        </xdr:from>
        <xdr:to>
          <xdr:col>12</xdr:col>
          <xdr:colOff>809625</xdr:colOff>
          <xdr:row>4</xdr:row>
          <xdr:rowOff>57150</xdr:rowOff>
        </xdr:to>
        <xdr:sp macro="" textlink="">
          <xdr:nvSpPr>
            <xdr:cNvPr id="106499" name="Check Box 3" descr="Hinweis 3" hidden="1">
              <a:extLst>
                <a:ext uri="{63B3BB69-23CF-44E3-9099-C40C66FF867C}">
                  <a14:compatExt spid="_x0000_s106499"/>
                </a:ext>
                <a:ext uri="{FF2B5EF4-FFF2-40B4-BE49-F238E27FC236}">
                  <a16:creationId xmlns:a16="http://schemas.microsoft.com/office/drawing/2014/main" id="{00000000-0008-0000-0700-000003A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4</xdr:row>
          <xdr:rowOff>66675</xdr:rowOff>
        </xdr:from>
        <xdr:to>
          <xdr:col>12</xdr:col>
          <xdr:colOff>809625</xdr:colOff>
          <xdr:row>5</xdr:row>
          <xdr:rowOff>123825</xdr:rowOff>
        </xdr:to>
        <xdr:sp macro="" textlink="">
          <xdr:nvSpPr>
            <xdr:cNvPr id="106500" name="Check Box 4" descr="Hinweis 3" hidden="1">
              <a:extLst>
                <a:ext uri="{63B3BB69-23CF-44E3-9099-C40C66FF867C}">
                  <a14:compatExt spid="_x0000_s106500"/>
                </a:ext>
                <a:ext uri="{FF2B5EF4-FFF2-40B4-BE49-F238E27FC236}">
                  <a16:creationId xmlns:a16="http://schemas.microsoft.com/office/drawing/2014/main" id="{00000000-0008-0000-0700-000004A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0800-000001A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238125</xdr:rowOff>
        </xdr:from>
        <xdr:to>
          <xdr:col>13</xdr:col>
          <xdr:colOff>0</xdr:colOff>
          <xdr:row>2</xdr:row>
          <xdr:rowOff>209550</xdr:rowOff>
        </xdr:to>
        <xdr:sp macro="" textlink="">
          <xdr:nvSpPr>
            <xdr:cNvPr id="108546" name="Check Box 2" descr="Hinweis 2" hidden="1">
              <a:extLst>
                <a:ext uri="{63B3BB69-23CF-44E3-9099-C40C66FF867C}">
                  <a14:compatExt spid="_x0000_s108546"/>
                </a:ext>
                <a:ext uri="{FF2B5EF4-FFF2-40B4-BE49-F238E27FC236}">
                  <a16:creationId xmlns:a16="http://schemas.microsoft.com/office/drawing/2014/main" id="{00000000-0008-0000-0800-000002A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219075</xdr:rowOff>
        </xdr:from>
        <xdr:to>
          <xdr:col>13</xdr:col>
          <xdr:colOff>0</xdr:colOff>
          <xdr:row>3</xdr:row>
          <xdr:rowOff>142875</xdr:rowOff>
        </xdr:to>
        <xdr:sp macro="" textlink="">
          <xdr:nvSpPr>
            <xdr:cNvPr id="108547" name="Check Box 3" descr="Hinweis 3" hidden="1">
              <a:extLst>
                <a:ext uri="{63B3BB69-23CF-44E3-9099-C40C66FF867C}">
                  <a14:compatExt spid="_x0000_s108547"/>
                </a:ext>
                <a:ext uri="{FF2B5EF4-FFF2-40B4-BE49-F238E27FC236}">
                  <a16:creationId xmlns:a16="http://schemas.microsoft.com/office/drawing/2014/main" id="{00000000-0008-0000-0800-000003A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108548" name="Check Box 4" descr="Hinweis 3" hidden="1">
              <a:extLst>
                <a:ext uri="{63B3BB69-23CF-44E3-9099-C40C66FF867C}">
                  <a14:compatExt spid="_x0000_s108548"/>
                </a:ext>
                <a:ext uri="{FF2B5EF4-FFF2-40B4-BE49-F238E27FC236}">
                  <a16:creationId xmlns:a16="http://schemas.microsoft.com/office/drawing/2014/main" id="{00000000-0008-0000-0800-000004A8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25.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29.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33.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37.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41.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trlProp" Target="../ctrlProps/ctrlProp45.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44.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trlProp" Target="../ctrlProps/ctrlProp4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1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2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42"/>
  </sheetPr>
  <dimension ref="A1:N980"/>
  <sheetViews>
    <sheetView showGridLines="0" tabSelected="1" zoomScaleNormal="100" workbookViewId="0">
      <selection activeCell="C3" sqref="C3"/>
    </sheetView>
  </sheetViews>
  <sheetFormatPr baseColWidth="10" defaultColWidth="11.42578125" defaultRowHeight="10.5" x14ac:dyDescent="0.2"/>
  <cols>
    <col min="1" max="1" width="5.28515625" style="16" customWidth="1"/>
    <col min="2" max="2" width="15.5703125" style="15" customWidth="1"/>
    <col min="3" max="3" width="32.42578125" style="15" customWidth="1"/>
    <col min="4" max="4" width="15.5703125" style="16" customWidth="1"/>
    <col min="5" max="5" width="15.28515625" style="17" customWidth="1"/>
    <col min="6" max="7" width="11.5703125" style="16" customWidth="1"/>
    <col min="8" max="8" width="12" style="16" customWidth="1"/>
    <col min="9" max="10" width="11.5703125" style="16" customWidth="1"/>
    <col min="11" max="11" width="11.42578125" style="16" customWidth="1"/>
    <col min="12" max="14" width="12.7109375" style="16" customWidth="1"/>
    <col min="15" max="16384" width="11.42578125" style="16"/>
  </cols>
  <sheetData>
    <row r="1" spans="1:12" x14ac:dyDescent="0.2">
      <c r="A1" s="14"/>
    </row>
    <row r="2" spans="1:12" ht="32.450000000000003" customHeight="1" x14ac:dyDescent="0.2">
      <c r="B2" s="18" t="s">
        <v>91</v>
      </c>
      <c r="G2" s="130" t="s">
        <v>207</v>
      </c>
      <c r="H2" s="130"/>
      <c r="I2" s="129" t="str">
        <f>IF(H3=TRUE,"Tragen Sie in die gelb markierten Felder die Angaben zu Ihrem Unternehmen ein.",IF(H4=TRUE,"Am vorteilhaftesten ist es, wenn Sie die Tabellen in dieser Datei anhand der unteren Reiter systematisch durchklicken. Es sind in allen Tabellen nur die GELBEN Zellen auszufüllen.
Die anderen Zellen sind gesperrt. Sie berechnen sich automatisch. ",IF(H5=TRUE,"Die mit Unterstrichen markierten Bezeichnungen für Tabellen, Zahlen und Texte sind verlinkt. Klicken Sie auf die Links, wenn Sie weitere Informationen in der betreffenden Tabelle suchen. ","")))</f>
        <v/>
      </c>
      <c r="J2" s="129"/>
      <c r="K2" s="129"/>
      <c r="L2" s="129"/>
    </row>
    <row r="3" spans="1:12" ht="15" customHeight="1" x14ac:dyDescent="0.2">
      <c r="B3" s="20" t="s">
        <v>186</v>
      </c>
      <c r="C3" s="7"/>
      <c r="E3" s="20" t="s">
        <v>181</v>
      </c>
      <c r="F3" s="21">
        <v>46357</v>
      </c>
      <c r="G3" s="22"/>
      <c r="H3" s="8" t="b">
        <v>0</v>
      </c>
      <c r="I3" s="129"/>
      <c r="J3" s="129"/>
      <c r="K3" s="129"/>
      <c r="L3" s="129"/>
    </row>
    <row r="4" spans="1:12" ht="15" customHeight="1" x14ac:dyDescent="0.2">
      <c r="B4" s="20" t="s">
        <v>174</v>
      </c>
      <c r="C4" s="7"/>
      <c r="E4" s="20" t="s">
        <v>182</v>
      </c>
      <c r="F4" s="21">
        <v>47452</v>
      </c>
      <c r="G4" s="22"/>
      <c r="H4" s="8" t="b">
        <v>0</v>
      </c>
      <c r="I4" s="129"/>
      <c r="J4" s="129"/>
      <c r="K4" s="129"/>
      <c r="L4" s="129"/>
    </row>
    <row r="5" spans="1:12" ht="15" customHeight="1" x14ac:dyDescent="0.2">
      <c r="B5" s="20" t="s">
        <v>175</v>
      </c>
      <c r="C5" s="7"/>
      <c r="E5" s="20" t="s">
        <v>183</v>
      </c>
      <c r="F5" s="23">
        <v>1</v>
      </c>
      <c r="G5" s="22"/>
      <c r="H5" s="8" t="b">
        <v>0</v>
      </c>
      <c r="I5" s="129"/>
      <c r="J5" s="129"/>
      <c r="K5" s="129"/>
      <c r="L5" s="129"/>
    </row>
    <row r="6" spans="1:12" ht="15" customHeight="1" x14ac:dyDescent="0.2">
      <c r="B6" s="20" t="s">
        <v>176</v>
      </c>
      <c r="C6" s="7"/>
      <c r="E6" s="20" t="s">
        <v>184</v>
      </c>
      <c r="F6" s="21">
        <f>DATE(YEAR($F$4)+$F$5,MONTH($F$4),DAY($F$4))</f>
        <v>47817</v>
      </c>
      <c r="I6" s="129"/>
      <c r="J6" s="129"/>
      <c r="K6" s="129"/>
      <c r="L6" s="129"/>
    </row>
    <row r="7" spans="1:12" ht="15" customHeight="1" x14ac:dyDescent="0.2">
      <c r="B7" s="20" t="s">
        <v>187</v>
      </c>
      <c r="C7" s="7"/>
    </row>
    <row r="8" spans="1:12" ht="15" customHeight="1" x14ac:dyDescent="0.2">
      <c r="B8" s="20" t="s">
        <v>188</v>
      </c>
      <c r="C8" s="7"/>
    </row>
    <row r="9" spans="1:12" ht="15" customHeight="1" x14ac:dyDescent="0.2">
      <c r="B9" s="20" t="s">
        <v>189</v>
      </c>
      <c r="C9" s="7"/>
    </row>
    <row r="10" spans="1:12" ht="15" customHeight="1" x14ac:dyDescent="0.2">
      <c r="B10" s="20" t="s">
        <v>190</v>
      </c>
      <c r="C10" s="7"/>
    </row>
    <row r="11" spans="1:12" ht="15" customHeight="1" x14ac:dyDescent="0.2">
      <c r="B11" s="20" t="s">
        <v>191</v>
      </c>
      <c r="C11" s="7"/>
    </row>
    <row r="12" spans="1:12" ht="24.95" customHeight="1" x14ac:dyDescent="0.2"/>
    <row r="13" spans="1:12" ht="19.899999999999999" customHeight="1" x14ac:dyDescent="0.2">
      <c r="B13" s="15" t="s">
        <v>0</v>
      </c>
      <c r="E13" s="16"/>
    </row>
    <row r="14" spans="1:12" ht="15" customHeight="1" x14ac:dyDescent="0.2">
      <c r="B14" s="12" t="s">
        <v>198</v>
      </c>
      <c r="E14" s="16"/>
    </row>
    <row r="15" spans="1:12" ht="15" customHeight="1" x14ac:dyDescent="0.2">
      <c r="B15" s="12" t="s">
        <v>392</v>
      </c>
      <c r="E15" s="16"/>
    </row>
    <row r="16" spans="1:12" ht="15" customHeight="1" x14ac:dyDescent="0.2">
      <c r="B16" s="12" t="s">
        <v>393</v>
      </c>
      <c r="E16" s="16"/>
    </row>
    <row r="17" spans="2:14" ht="15" customHeight="1" x14ac:dyDescent="0.2">
      <c r="B17" s="1" t="s">
        <v>394</v>
      </c>
      <c r="C17" s="16"/>
      <c r="E17" s="16"/>
    </row>
    <row r="18" spans="2:14" ht="15" customHeight="1" x14ac:dyDescent="0.2">
      <c r="B18" s="1" t="s">
        <v>395</v>
      </c>
      <c r="C18" s="16"/>
      <c r="E18" s="16"/>
    </row>
    <row r="19" spans="2:14" ht="15" customHeight="1" x14ac:dyDescent="0.2">
      <c r="B19" s="1" t="s">
        <v>398</v>
      </c>
      <c r="C19" s="16"/>
      <c r="E19" s="16"/>
    </row>
    <row r="20" spans="2:14" ht="15" customHeight="1" x14ac:dyDescent="0.2">
      <c r="B20" s="12" t="s">
        <v>169</v>
      </c>
    </row>
    <row r="21" spans="2:14" ht="15" customHeight="1" x14ac:dyDescent="0.2"/>
    <row r="22" spans="2:14" ht="90" customHeight="1" x14ac:dyDescent="0.2">
      <c r="B22" s="24" t="s">
        <v>192</v>
      </c>
      <c r="C22" s="24" t="s">
        <v>193</v>
      </c>
      <c r="D22" s="24" t="s">
        <v>194</v>
      </c>
      <c r="E22" s="24" t="s">
        <v>413</v>
      </c>
      <c r="F22" s="24" t="s">
        <v>379</v>
      </c>
      <c r="G22" s="24" t="s">
        <v>381</v>
      </c>
      <c r="H22" s="24" t="s">
        <v>382</v>
      </c>
      <c r="I22" s="24" t="s">
        <v>383</v>
      </c>
      <c r="J22" s="24" t="s">
        <v>384</v>
      </c>
      <c r="K22" s="24" t="s">
        <v>414</v>
      </c>
      <c r="L22" s="24" t="s">
        <v>420</v>
      </c>
      <c r="M22" s="24" t="s">
        <v>396</v>
      </c>
      <c r="N22" s="24" t="s">
        <v>397</v>
      </c>
    </row>
    <row r="23" spans="2:14" ht="15" customHeight="1" x14ac:dyDescent="0.2">
      <c r="B23" s="25" t="s">
        <v>214</v>
      </c>
      <c r="C23" s="25" t="s">
        <v>216</v>
      </c>
      <c r="D23" s="25" t="s">
        <v>208</v>
      </c>
      <c r="E23" s="26">
        <f>'Kal Unter GS Zeesen'!L21+'Kal Unter Fer GS Zeesen'!L21</f>
        <v>253.66</v>
      </c>
      <c r="F23" s="13">
        <f ca="1">'Kal Unter GS Zeesen'!Q21</f>
        <v>0</v>
      </c>
      <c r="G23" s="13">
        <f>'Kal Grund GS Zeesen'!Q21</f>
        <v>0</v>
      </c>
      <c r="H23" s="13">
        <f>SUMIF('Kal Glas Gesamt'!$B$5:$B6,$B$23,'Kal Glas Gesamt'!$L$5:$L6)</f>
        <v>0</v>
      </c>
      <c r="I23" s="13">
        <f ca="1">'Kal Unter Fer GS Zeesen'!Q21</f>
        <v>0</v>
      </c>
      <c r="J23" s="13">
        <f ca="1">'Kal Unter Bed GS Zeesen'!Q21</f>
        <v>0</v>
      </c>
      <c r="K23" s="13">
        <f ca="1">'Kal Sonder Bed GS Zeesen'!Q21</f>
        <v>0</v>
      </c>
      <c r="L23" s="13">
        <f ca="1">'Kal TeilRG Gesamt'!Q21</f>
        <v>0</v>
      </c>
      <c r="M23" s="27">
        <f ca="1">ROUND(SUM($F$23:$L$23),2)</f>
        <v>0</v>
      </c>
      <c r="N23" s="27">
        <f ca="1">SUM(Preisübersicht!$J$6,'Preisübersicht (nach Bedarf)'!$E$6,'Preisübersicht (nach Bedarf)'!$H$6)</f>
        <v>0</v>
      </c>
    </row>
    <row r="24" spans="2:14" ht="15" customHeight="1" x14ac:dyDescent="0.2">
      <c r="B24" s="25" t="s">
        <v>220</v>
      </c>
      <c r="C24" s="25" t="s">
        <v>221</v>
      </c>
      <c r="D24" s="25" t="s">
        <v>222</v>
      </c>
      <c r="E24" s="26">
        <f>'Kal Unter Hort mit TH'!L21+'Kal Unter Fer Hort mit TH'!L21</f>
        <v>253.66</v>
      </c>
      <c r="F24" s="13">
        <f ca="1">'Kal Unter Hort mit TH'!Q21</f>
        <v>0</v>
      </c>
      <c r="G24" s="13">
        <f>'Kal Grund Hort mit TH'!Q21</f>
        <v>0</v>
      </c>
      <c r="H24" s="13">
        <f>SUMIF('Kal Glas Gesamt'!$B$5:$B6,$B$24,'Kal Glas Gesamt'!$L$5:$L6)</f>
        <v>0</v>
      </c>
      <c r="I24" s="13">
        <f ca="1">'Kal Unter Fer Hort mit TH'!Q21</f>
        <v>0</v>
      </c>
      <c r="J24" s="28"/>
      <c r="K24" s="28"/>
      <c r="L24" s="28"/>
      <c r="M24" s="27">
        <f ca="1">ROUND(SUM($F$24:$L$24),2)</f>
        <v>0</v>
      </c>
      <c r="N24" s="27">
        <f ca="1">SUM(Preisübersicht!$J$7)</f>
        <v>0</v>
      </c>
    </row>
    <row r="25" spans="2:14" ht="15" customHeight="1" x14ac:dyDescent="0.2"/>
    <row r="26" spans="2:14" ht="15" customHeight="1" x14ac:dyDescent="0.2"/>
    <row r="27" spans="2:14" ht="15" customHeight="1" x14ac:dyDescent="0.2"/>
    <row r="28" spans="2:14" ht="15" customHeight="1" x14ac:dyDescent="0.2"/>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sheetData>
  <sheetProtection algorithmName="SHA-512" hashValue="HzGnqnj61tiSJ8lbvfwch5otXgvPB+S85FalpCUhsW6nZBJU0vC40FGaOLPSExqJBiFacEkylumTIkjbx7xmOQ==" saltValue="mWVYARE2WEx80vV3Zo41EQ==" spinCount="100000" sheet="1" objects="1" scenarios="1"/>
  <mergeCells count="2">
    <mergeCell ref="I2:L6"/>
    <mergeCell ref="G2:H2"/>
  </mergeCells>
  <phoneticPr fontId="3" type="noConversion"/>
  <hyperlinks>
    <hyperlink ref="B14" location="'Preisübersicht'!A1" display="Preisübersicht" xr:uid="{7B05687D-D533-42F2-96F7-CCA62198702E}"/>
    <hyperlink ref="B15" location="'Preisübersicht (nach Bedarf)'!A1" display="Preisübersicht (nach Bedarf)" xr:uid="{82235773-5E81-4A1E-B2A5-6A7C1277C8E4}"/>
    <hyperlink ref="B16" location="'SVS UnterhaltsRG'!A1" display="SVS UnterhaltsRG" xr:uid="{0A440245-B734-4923-95EF-0DAF11B2666C}"/>
    <hyperlink ref="B17" location="'SVS GrundRG'!A1" display="SVS GrundRG" xr:uid="{3E4FDD34-68DB-4EBB-AE51-F85C62E2BC21}"/>
    <hyperlink ref="B18" location="'SVS GlasRG'!A1" display="SVS GlasRG" xr:uid="{A0E05810-B59F-46E6-992E-A867477C2F6C}"/>
    <hyperlink ref="B20" location="'Reinigungstage'!A1" display="Reinigungstage" xr:uid="{7D2D6B67-DE01-4893-9B09-265402E171BD}"/>
    <hyperlink ref="F23" location="'Kal Unter GS Zeesen'!$Q$21" display="'Kal Unter GS Zeesen'!$Q$21" xr:uid="{F99CAA9E-7767-4975-803B-05D31CD4377A}"/>
    <hyperlink ref="F24" location="'Kal Unter Hort mit TH'!$Q$21" display="'Kal Unter Hort mit TH'!$Q$21" xr:uid="{A7080848-C490-4409-AC3D-FDE9393EF477}"/>
    <hyperlink ref="G23" location="'Kal Grund GS Zeesen'!$Q$21" display="'Kal Grund GS Zeesen'!$Q$21" xr:uid="{9E4D5B3C-AE56-4143-8322-03F2DE49CCDA}"/>
    <hyperlink ref="G24" location="'Kal Grund Hort mit TH'!$Q$21" display="'Kal Grund Hort mit TH'!$Q$21" xr:uid="{9F7C7E4F-DD71-4BBF-B098-D6D4CD5196AC}"/>
    <hyperlink ref="H23" location="'Kal Glas Gesamt'!L5" display="'Kal Glas Gesamt'!L5" xr:uid="{00A9C129-DC8A-4D90-BCE3-986FF1E667CD}"/>
    <hyperlink ref="H24" location="'Kal Glas Gesamt'!L6" display="'Kal Glas Gesamt'!L6" xr:uid="{AE6D3154-15FA-408F-99C6-3CBEB3553E91}"/>
    <hyperlink ref="I23" location="'Kal Unter Fer GS Zeesen'!$Q$21" display="'Kal Unter Fer GS Zeesen'!$Q$21" xr:uid="{0473B6F8-1EA0-44A2-9155-E641D702173B}"/>
    <hyperlink ref="I24" location="'Kal Unter Fer Hort mit TH'!$Q$21" display="'Kal Unter Fer Hort mit TH'!$Q$21" xr:uid="{E136E5ED-D5CB-4752-873B-08D67E0B8069}"/>
    <hyperlink ref="J23" location="'Kal Unter Bed GS Zeesen'!$Q$21" display="'Kal Unter Bed GS Zeesen'!$Q$21" xr:uid="{01FC63C0-C70C-44EF-8113-5D0AF98EA9CF}"/>
    <hyperlink ref="K23" location="'Kal Sonder Bed GS Zeesen'!Q21" display="'Kal Sonder Bed GS Zeesen'!Q21" xr:uid="{8086F7C3-0C26-40EC-AA81-02EAAFBB697F}"/>
    <hyperlink ref="B19" location="'SVS Sonderreinigung'!A1" display="SVS Sonderreinigung" xr:uid="{11BCA4B1-0C57-46EA-A6CD-1C512837509A}"/>
    <hyperlink ref="L23" location="'Kal TeilRG Gesamt'!Q21" display="'Kal TeilRG Gesamt'!Q21" xr:uid="{D6CF692C-430B-45EE-9C40-C9641855CC2B}"/>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&amp;N&amp;RInhaltsverzeichnis</oddFooter>
  </headerFooter>
  <rowBreaks count="1" manualBreakCount="1">
    <brk id="2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0</xdr:colOff>
                    <xdr:row>2</xdr:row>
                    <xdr:rowOff>0</xdr:rowOff>
                  </from>
                  <to>
                    <xdr:col>7</xdr:col>
                    <xdr:colOff>790575</xdr:colOff>
                    <xdr:row>3</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ltText="Hinweis 2">
                <anchor moveWithCells="1">
                  <from>
                    <xdr:col>7</xdr:col>
                    <xdr:colOff>0</xdr:colOff>
                    <xdr:row>3</xdr:row>
                    <xdr:rowOff>0</xdr:rowOff>
                  </from>
                  <to>
                    <xdr:col>7</xdr:col>
                    <xdr:colOff>790575</xdr:colOff>
                    <xdr:row>4</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ltText="Hinweis 3">
                <anchor moveWithCells="1">
                  <from>
                    <xdr:col>7</xdr:col>
                    <xdr:colOff>0</xdr:colOff>
                    <xdr:row>4</xdr:row>
                    <xdr:rowOff>19050</xdr:rowOff>
                  </from>
                  <to>
                    <xdr:col>7</xdr:col>
                    <xdr:colOff>790575</xdr:colOff>
                    <xdr:row>5</xdr:row>
                    <xdr:rowOff>57150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FCF7-AA39-410A-ACEA-FC1BB258535B}">
  <sheetPr>
    <tabColor indexed="40"/>
  </sheetPr>
  <dimension ref="A1:V36"/>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7109375" style="16" customWidth="1"/>
    <col min="2" max="2" width="7.7109375" style="16" customWidth="1"/>
    <col min="3" max="3" width="5.7109375" style="16" customWidth="1"/>
    <col min="4" max="4" width="8.28515625" style="16" customWidth="1"/>
    <col min="5" max="5" width="21.7109375" style="16" customWidth="1"/>
    <col min="6" max="6" width="13.5703125" style="16" bestFit="1"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2.140625" style="16" customWidth="1"/>
    <col min="14" max="14" width="9.42578125" style="16" customWidth="1"/>
    <col min="15" max="15" width="8.42578125" style="16" customWidth="1"/>
    <col min="16" max="17" width="11.42578125" style="16" customWidth="1"/>
    <col min="18" max="19" width="11.28515625" style="16" customWidth="1"/>
    <col min="20" max="20" width="22.28515625" style="16" customWidth="1"/>
    <col min="21" max="21" width="0" style="16" hidden="1" customWidth="1"/>
    <col min="22" max="16384" width="11.42578125" style="16" hidden="1"/>
  </cols>
  <sheetData>
    <row r="1" spans="1:22" ht="15" customHeight="1" x14ac:dyDescent="0.2">
      <c r="M1" s="1" t="s">
        <v>100</v>
      </c>
    </row>
    <row r="2" spans="1:22" ht="21" customHeight="1" x14ac:dyDescent="0.2">
      <c r="A2" s="167" t="s">
        <v>172</v>
      </c>
      <c r="B2" s="168"/>
      <c r="C2" s="168"/>
      <c r="D2" s="168" t="b">
        <v>0</v>
      </c>
      <c r="E2" s="169"/>
      <c r="G2" s="170" t="s">
        <v>185</v>
      </c>
      <c r="H2" s="170" t="s">
        <v>177</v>
      </c>
      <c r="I2" s="170" t="s">
        <v>178</v>
      </c>
      <c r="J2" s="170" t="s">
        <v>197</v>
      </c>
      <c r="M2" s="8"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2" ht="21" customHeight="1" x14ac:dyDescent="0.2">
      <c r="A3" s="75" t="s">
        <v>223</v>
      </c>
      <c r="B3" s="76"/>
      <c r="C3" s="76"/>
      <c r="D3" s="76"/>
      <c r="E3" s="77"/>
      <c r="G3" s="171"/>
      <c r="H3" s="171" t="b">
        <v>0</v>
      </c>
      <c r="I3" s="171"/>
      <c r="J3" s="171"/>
      <c r="M3" s="8" t="b">
        <v>0</v>
      </c>
      <c r="N3" s="129"/>
      <c r="O3" s="129"/>
      <c r="P3" s="129"/>
      <c r="Q3" s="129"/>
    </row>
    <row r="4" spans="1:22" ht="15" customHeight="1" x14ac:dyDescent="0.2">
      <c r="A4" s="165" t="s">
        <v>91</v>
      </c>
      <c r="B4" s="153" t="str">
        <f>IF(Inhaltsverzeichnis!C3="","",Inhaltsverzeichnis!C3)</f>
        <v/>
      </c>
      <c r="C4" s="154"/>
      <c r="D4" s="154"/>
      <c r="E4" s="155"/>
      <c r="G4" s="78" t="s">
        <v>312</v>
      </c>
      <c r="H4" s="91"/>
      <c r="I4" s="79">
        <v>2869.72</v>
      </c>
      <c r="J4" s="23">
        <v>8</v>
      </c>
      <c r="M4" s="8" t="b">
        <v>0</v>
      </c>
      <c r="N4" s="129"/>
      <c r="O4" s="129"/>
      <c r="P4" s="129"/>
      <c r="Q4" s="129"/>
      <c r="U4" s="78" t="s">
        <v>314</v>
      </c>
      <c r="V4" s="16">
        <v>195</v>
      </c>
    </row>
    <row r="5" spans="1:22" ht="15" customHeight="1" x14ac:dyDescent="0.2">
      <c r="A5" s="166"/>
      <c r="B5" s="156"/>
      <c r="C5" s="157"/>
      <c r="D5" s="157"/>
      <c r="E5" s="158"/>
      <c r="G5" s="78" t="s">
        <v>317</v>
      </c>
      <c r="H5" s="91"/>
      <c r="I5" s="79">
        <v>13284</v>
      </c>
      <c r="J5" s="23">
        <v>1</v>
      </c>
      <c r="M5" s="8" t="b">
        <v>0</v>
      </c>
      <c r="N5" s="129"/>
      <c r="O5" s="129"/>
      <c r="P5" s="129"/>
      <c r="Q5" s="129"/>
      <c r="U5" s="78" t="s">
        <v>309</v>
      </c>
      <c r="V5" s="16">
        <v>215</v>
      </c>
    </row>
    <row r="6" spans="1:22" ht="15" customHeight="1" x14ac:dyDescent="0.2">
      <c r="A6" s="80" t="s">
        <v>195</v>
      </c>
      <c r="B6" s="159" t="s">
        <v>215</v>
      </c>
      <c r="C6" s="160"/>
      <c r="D6" s="160"/>
      <c r="E6" s="161"/>
      <c r="G6" s="78" t="s">
        <v>310</v>
      </c>
      <c r="H6" s="91"/>
      <c r="I6" s="79">
        <v>190.68</v>
      </c>
      <c r="J6" s="23">
        <v>1</v>
      </c>
      <c r="U6" s="78" t="s">
        <v>311</v>
      </c>
      <c r="V6" s="16">
        <v>170</v>
      </c>
    </row>
    <row r="7" spans="1:22" ht="15" customHeight="1" x14ac:dyDescent="0.2">
      <c r="A7" s="81" t="s">
        <v>193</v>
      </c>
      <c r="B7" s="162" t="s">
        <v>216</v>
      </c>
      <c r="C7" s="160"/>
      <c r="D7" s="160"/>
      <c r="E7" s="161"/>
      <c r="G7" s="78" t="s">
        <v>316</v>
      </c>
      <c r="H7" s="91"/>
      <c r="I7" s="79">
        <v>689.45</v>
      </c>
      <c r="J7" s="23">
        <v>2</v>
      </c>
      <c r="U7" s="78" t="s">
        <v>312</v>
      </c>
      <c r="V7" s="16">
        <v>75</v>
      </c>
    </row>
    <row r="8" spans="1:22" ht="15" customHeight="1" x14ac:dyDescent="0.2">
      <c r="A8" s="81" t="s">
        <v>194</v>
      </c>
      <c r="B8" s="159"/>
      <c r="C8" s="160"/>
      <c r="D8" s="160"/>
      <c r="E8" s="161"/>
      <c r="G8" s="78" t="s">
        <v>313</v>
      </c>
      <c r="H8" s="91"/>
      <c r="I8" s="79">
        <v>12447.720000000001</v>
      </c>
      <c r="J8" s="23">
        <v>3</v>
      </c>
      <c r="U8" s="78" t="s">
        <v>317</v>
      </c>
      <c r="V8" s="16">
        <v>450</v>
      </c>
    </row>
    <row r="9" spans="1:22" ht="15" customHeight="1" x14ac:dyDescent="0.2">
      <c r="A9" s="80" t="s">
        <v>192</v>
      </c>
      <c r="B9" s="163" t="s">
        <v>214</v>
      </c>
      <c r="C9" s="160"/>
      <c r="D9" s="160"/>
      <c r="E9" s="161"/>
      <c r="G9" s="78" t="s">
        <v>315</v>
      </c>
      <c r="H9" s="91"/>
      <c r="I9" s="79">
        <v>18374.509999999998</v>
      </c>
      <c r="J9" s="23">
        <v>1</v>
      </c>
      <c r="U9" s="78" t="s">
        <v>310</v>
      </c>
      <c r="V9" s="16">
        <v>300</v>
      </c>
    </row>
    <row r="10" spans="1:22" ht="15" customHeight="1" x14ac:dyDescent="0.2">
      <c r="A10" s="81" t="s">
        <v>174</v>
      </c>
      <c r="B10" s="159" t="s">
        <v>217</v>
      </c>
      <c r="C10" s="160"/>
      <c r="D10" s="160"/>
      <c r="E10" s="161"/>
      <c r="U10" s="78" t="s">
        <v>307</v>
      </c>
      <c r="V10" s="16">
        <v>165</v>
      </c>
    </row>
    <row r="11" spans="1:22" ht="15" customHeight="1" x14ac:dyDescent="0.2">
      <c r="A11" s="81" t="s">
        <v>175</v>
      </c>
      <c r="B11" s="164" t="s">
        <v>218</v>
      </c>
      <c r="C11" s="160"/>
      <c r="D11" s="160"/>
      <c r="E11" s="161"/>
      <c r="G11" s="94"/>
      <c r="M11" s="16" t="str">
        <f>IF(N13&gt;0,"Bitte die Leistungswerte im Leistungsverzeichnis/ Tabellenblatt Leistungsrichtwerte","")</f>
        <v/>
      </c>
      <c r="U11" s="78" t="s">
        <v>316</v>
      </c>
      <c r="V11" s="16">
        <v>220</v>
      </c>
    </row>
    <row r="12" spans="1:22" ht="15" customHeight="1" x14ac:dyDescent="0.2">
      <c r="A12" s="81" t="s">
        <v>176</v>
      </c>
      <c r="B12" s="159" t="s">
        <v>219</v>
      </c>
      <c r="C12" s="160"/>
      <c r="D12" s="160"/>
      <c r="E12" s="161"/>
      <c r="G12" s="94"/>
      <c r="M12" s="16" t="str">
        <f>IF(N13&gt;0,"für die Objektart prüfen.","")</f>
        <v/>
      </c>
      <c r="U12" s="78" t="s">
        <v>308</v>
      </c>
      <c r="V12" s="16">
        <v>240</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94"/>
      <c r="N13" s="82">
        <f>COUNTIF(V22:V$36,1)</f>
        <v>0</v>
      </c>
      <c r="O13" s="16" t="str">
        <f>IF(N13&gt;0,"Wert(e) überschritten, bitte mit dem Angebot plausibel darlegen.","")</f>
        <v/>
      </c>
      <c r="U13" s="78" t="s">
        <v>313</v>
      </c>
      <c r="V13" s="16">
        <v>450</v>
      </c>
    </row>
    <row r="14" spans="1:22" ht="15" customHeight="1" x14ac:dyDescent="0.2">
      <c r="G14" s="94"/>
      <c r="N14" s="83">
        <f>COUNTIF(V22:V$36,0)</f>
        <v>15</v>
      </c>
      <c r="O14" s="16" t="str">
        <f>IF(N14&gt;0,"Wert(e) korrekt","")</f>
        <v>Wert(e) korrekt</v>
      </c>
      <c r="T14" s="84">
        <f>IF(COUNTA($T$22:$T$36)-COUNTBLANK($T$22:$T$36)=0,"",COUNTA($T$22:$T$36)-COUNTBLANK($T$22:$T$36))</f>
        <v>15</v>
      </c>
      <c r="U14" s="78" t="s">
        <v>315</v>
      </c>
      <c r="V14" s="16">
        <v>115</v>
      </c>
    </row>
    <row r="15" spans="1:22" ht="15" hidden="1" customHeight="1" x14ac:dyDescent="0.2"/>
    <row r="16" spans="1:22" ht="15" hidden="1" customHeight="1" x14ac:dyDescent="0.2"/>
    <row r="17" spans="1:22" ht="15" hidden="1" customHeight="1" x14ac:dyDescent="0.2"/>
    <row r="18" spans="1:22" ht="15" hidden="1" customHeight="1" x14ac:dyDescent="0.2"/>
    <row r="19" spans="1:22" ht="15" hidden="1" customHeight="1" x14ac:dyDescent="0.2"/>
    <row r="20" spans="1:22" ht="45" customHeight="1" x14ac:dyDescent="0.2">
      <c r="A20" s="33" t="s">
        <v>92</v>
      </c>
      <c r="B20" s="33" t="s">
        <v>97</v>
      </c>
      <c r="C20" s="33" t="s">
        <v>93</v>
      </c>
      <c r="D20" s="33" t="s">
        <v>94</v>
      </c>
      <c r="E20" s="33" t="s">
        <v>98</v>
      </c>
      <c r="F20" s="33" t="s">
        <v>95</v>
      </c>
      <c r="G20" s="33" t="s">
        <v>117</v>
      </c>
      <c r="H20" s="33" t="s">
        <v>107</v>
      </c>
      <c r="I20" s="33" t="s">
        <v>108</v>
      </c>
      <c r="J20" s="33" t="s">
        <v>99</v>
      </c>
      <c r="K20" s="33" t="s">
        <v>105</v>
      </c>
      <c r="L20" s="33" t="s">
        <v>136</v>
      </c>
      <c r="M20" s="33" t="s">
        <v>110</v>
      </c>
      <c r="N20" s="33" t="s">
        <v>106</v>
      </c>
      <c r="O20" s="33" t="s">
        <v>111</v>
      </c>
      <c r="P20" s="33" t="s">
        <v>112</v>
      </c>
      <c r="Q20" s="33" t="s">
        <v>113</v>
      </c>
      <c r="R20" s="33" t="s">
        <v>196</v>
      </c>
      <c r="S20" s="33" t="s">
        <v>135</v>
      </c>
    </row>
    <row r="21" spans="1:22" ht="29.1" customHeight="1" x14ac:dyDescent="0.2">
      <c r="A21" s="85" t="s">
        <v>120</v>
      </c>
      <c r="B21" s="60"/>
      <c r="C21" s="60"/>
      <c r="D21" s="60"/>
      <c r="E21" s="60"/>
      <c r="F21" s="60"/>
      <c r="G21" s="86">
        <f>SUM($G$22:$G$36)</f>
        <v>1058.96</v>
      </c>
      <c r="H21" s="86">
        <f>SUM($H$22:$H$36)</f>
        <v>0</v>
      </c>
      <c r="I21" s="86">
        <f>SUM($I$22:$I$36)</f>
        <v>0</v>
      </c>
      <c r="J21" s="38"/>
      <c r="K21" s="38"/>
      <c r="L21" s="87">
        <f>MAX(L22:L36)</f>
        <v>57.66</v>
      </c>
      <c r="M21" s="86">
        <f>SUM($M$22:$M$36)</f>
        <v>50281.4</v>
      </c>
      <c r="N21" s="38"/>
      <c r="O21" s="38"/>
      <c r="P21" s="86">
        <f>SUM($P$22:$P$36)</f>
        <v>0</v>
      </c>
      <c r="Q21" s="86">
        <f ca="1">SUM($Q$22:$Q$36)</f>
        <v>0</v>
      </c>
      <c r="R21" s="86">
        <f>ROUND(IF(L21=0,0,P21/L21),2)</f>
        <v>0</v>
      </c>
      <c r="S21" s="86">
        <f ca="1">ROUND(IF(L21=0,0,Q21/L21),2)</f>
        <v>0</v>
      </c>
    </row>
    <row r="22" spans="1:22" ht="15" customHeight="1" x14ac:dyDescent="0.2">
      <c r="A22" s="78">
        <v>1</v>
      </c>
      <c r="B22" s="88">
        <v>101</v>
      </c>
      <c r="C22" s="89" t="s">
        <v>276</v>
      </c>
      <c r="D22" s="89"/>
      <c r="E22" s="89" t="s">
        <v>277</v>
      </c>
      <c r="F22" s="89" t="s">
        <v>227</v>
      </c>
      <c r="G22" s="90">
        <v>96.38</v>
      </c>
      <c r="H22" s="90"/>
      <c r="I22" s="90"/>
      <c r="J22" s="78" t="s">
        <v>313</v>
      </c>
      <c r="K22" s="90">
        <v>5</v>
      </c>
      <c r="L22" s="38">
        <f>VLOOKUP(K22,Reinigungstage!A10:H31,8,FALSE)</f>
        <v>57.66</v>
      </c>
      <c r="M22" s="38">
        <f t="shared" ref="M22:M26" si="0">ROUND(IF(L22=0,0,L22*G22),2)</f>
        <v>5557.27</v>
      </c>
      <c r="N22" s="92">
        <f t="shared" ref="N22:N36" si="1">VLOOKUP(J22,$G$4:$H$14,2,FALSE)</f>
        <v>0</v>
      </c>
      <c r="O22" s="38">
        <f ca="1">IF('SVS UnterhaltsRG'!H61="",0,'SVS UnterhaltsRG'!H61)</f>
        <v>0</v>
      </c>
      <c r="P22" s="38">
        <f t="shared" ref="P22:P26" si="2">ROUND(IF(N22=0,0,M22/N22),2)</f>
        <v>0</v>
      </c>
      <c r="Q22" s="38">
        <f t="shared" ref="Q22:Q26" ca="1" si="3">IF(M22=0,0,IF(O22="",0,ROUND(P22*O22,2)))</f>
        <v>0</v>
      </c>
      <c r="R22" s="38">
        <f t="shared" ref="R22:R26" si="4">ROUND(IF(P22=0,0,P22/L22),2)</f>
        <v>0</v>
      </c>
      <c r="S22" s="38">
        <f t="shared" ref="S22:S26" ca="1" si="5">ROUND(IF(Q22=0,0,Q22/L22),2)</f>
        <v>0</v>
      </c>
      <c r="T22" s="16" t="str">
        <f t="shared" ref="T22:T26" si="6">IF(M22=0,"",IF(N22=0,"Leistungswert eintragen",IF(O22=0,"SVS prüfen","")))</f>
        <v>Leistungswert eintragen</v>
      </c>
      <c r="U22" s="16">
        <f t="shared" ref="U22:U26" si="7">VLOOKUP(J22,$U$4:$V$14,2,FALSE)</f>
        <v>450</v>
      </c>
      <c r="V22" s="16">
        <f t="shared" ref="V22:V26" si="8">IF(M22=0,0,IF(U22&lt;N22,1,IF(U22&gt;=N22,0,"")))</f>
        <v>0</v>
      </c>
    </row>
    <row r="23" spans="1:22" ht="15" customHeight="1" x14ac:dyDescent="0.2">
      <c r="A23" s="78">
        <v>2</v>
      </c>
      <c r="B23" s="88">
        <v>102</v>
      </c>
      <c r="C23" s="89" t="s">
        <v>276</v>
      </c>
      <c r="D23" s="89"/>
      <c r="E23" s="89" t="s">
        <v>277</v>
      </c>
      <c r="F23" s="89" t="s">
        <v>227</v>
      </c>
      <c r="G23" s="90">
        <v>41.73</v>
      </c>
      <c r="H23" s="90"/>
      <c r="I23" s="90"/>
      <c r="J23" s="78" t="s">
        <v>313</v>
      </c>
      <c r="K23" s="90">
        <v>5</v>
      </c>
      <c r="L23" s="38">
        <f>VLOOKUP(K23,Reinigungstage!A10:H31,8,FALSE)</f>
        <v>57.66</v>
      </c>
      <c r="M23" s="38">
        <f t="shared" si="0"/>
        <v>2406.15</v>
      </c>
      <c r="N23" s="92">
        <f t="shared" si="1"/>
        <v>0</v>
      </c>
      <c r="O23" s="38">
        <f ca="1">IF('SVS UnterhaltsRG'!H61="",0,'SVS UnterhaltsRG'!H61)</f>
        <v>0</v>
      </c>
      <c r="P23" s="38">
        <f t="shared" si="2"/>
        <v>0</v>
      </c>
      <c r="Q23" s="38">
        <f t="shared" ca="1" si="3"/>
        <v>0</v>
      </c>
      <c r="R23" s="38">
        <f t="shared" si="4"/>
        <v>0</v>
      </c>
      <c r="S23" s="38">
        <f t="shared" ca="1" si="5"/>
        <v>0</v>
      </c>
      <c r="T23" s="16" t="str">
        <f t="shared" si="6"/>
        <v>Leistungswert eintragen</v>
      </c>
      <c r="U23" s="16">
        <f t="shared" si="7"/>
        <v>450</v>
      </c>
      <c r="V23" s="16">
        <f t="shared" si="8"/>
        <v>0</v>
      </c>
    </row>
    <row r="24" spans="1:22" ht="15" customHeight="1" x14ac:dyDescent="0.2">
      <c r="A24" s="78">
        <v>3</v>
      </c>
      <c r="B24" s="88">
        <v>104</v>
      </c>
      <c r="C24" s="89" t="s">
        <v>276</v>
      </c>
      <c r="D24" s="89"/>
      <c r="E24" s="89" t="s">
        <v>236</v>
      </c>
      <c r="F24" s="89" t="s">
        <v>227</v>
      </c>
      <c r="G24" s="90">
        <v>6.15</v>
      </c>
      <c r="H24" s="90"/>
      <c r="I24" s="90"/>
      <c r="J24" s="78" t="s">
        <v>312</v>
      </c>
      <c r="K24" s="90">
        <v>5</v>
      </c>
      <c r="L24" s="38">
        <f>VLOOKUP(K24,Reinigungstage!A10:H31,8,FALSE)</f>
        <v>57.66</v>
      </c>
      <c r="M24" s="38">
        <f t="shared" si="0"/>
        <v>354.61</v>
      </c>
      <c r="N24" s="92">
        <f t="shared" si="1"/>
        <v>0</v>
      </c>
      <c r="O24" s="38">
        <f ca="1">IF('SVS UnterhaltsRG'!H61="",0,'SVS UnterhaltsRG'!H61)</f>
        <v>0</v>
      </c>
      <c r="P24" s="38">
        <f t="shared" si="2"/>
        <v>0</v>
      </c>
      <c r="Q24" s="38">
        <f t="shared" ca="1" si="3"/>
        <v>0</v>
      </c>
      <c r="R24" s="38">
        <f t="shared" si="4"/>
        <v>0</v>
      </c>
      <c r="S24" s="38">
        <f t="shared" ca="1" si="5"/>
        <v>0</v>
      </c>
      <c r="T24" s="16" t="str">
        <f t="shared" si="6"/>
        <v>Leistungswert eintragen</v>
      </c>
      <c r="U24" s="16">
        <f t="shared" si="7"/>
        <v>75</v>
      </c>
      <c r="V24" s="16">
        <f t="shared" si="8"/>
        <v>0</v>
      </c>
    </row>
    <row r="25" spans="1:22" ht="15" customHeight="1" x14ac:dyDescent="0.2">
      <c r="A25" s="78">
        <v>4</v>
      </c>
      <c r="B25" s="88">
        <v>105</v>
      </c>
      <c r="C25" s="89" t="s">
        <v>276</v>
      </c>
      <c r="D25" s="89"/>
      <c r="E25" s="89" t="s">
        <v>279</v>
      </c>
      <c r="F25" s="89" t="s">
        <v>227</v>
      </c>
      <c r="G25" s="90">
        <v>10.220000000000001</v>
      </c>
      <c r="H25" s="90"/>
      <c r="I25" s="90"/>
      <c r="J25" s="78" t="s">
        <v>312</v>
      </c>
      <c r="K25" s="90">
        <v>5</v>
      </c>
      <c r="L25" s="38">
        <f>VLOOKUP(K25,Reinigungstage!A10:H31,8,FALSE)</f>
        <v>57.66</v>
      </c>
      <c r="M25" s="38">
        <f t="shared" si="0"/>
        <v>589.29</v>
      </c>
      <c r="N25" s="92">
        <f t="shared" si="1"/>
        <v>0</v>
      </c>
      <c r="O25" s="38">
        <f ca="1">IF('SVS UnterhaltsRG'!H61="",0,'SVS UnterhaltsRG'!H61)</f>
        <v>0</v>
      </c>
      <c r="P25" s="38">
        <f t="shared" si="2"/>
        <v>0</v>
      </c>
      <c r="Q25" s="38">
        <f t="shared" ca="1" si="3"/>
        <v>0</v>
      </c>
      <c r="R25" s="38">
        <f t="shared" si="4"/>
        <v>0</v>
      </c>
      <c r="S25" s="38">
        <f t="shared" ca="1" si="5"/>
        <v>0</v>
      </c>
      <c r="T25" s="16" t="str">
        <f t="shared" si="6"/>
        <v>Leistungswert eintragen</v>
      </c>
      <c r="U25" s="16">
        <f t="shared" si="7"/>
        <v>75</v>
      </c>
      <c r="V25" s="16">
        <f t="shared" si="8"/>
        <v>0</v>
      </c>
    </row>
    <row r="26" spans="1:22" ht="15" customHeight="1" x14ac:dyDescent="0.2">
      <c r="A26" s="78">
        <v>5</v>
      </c>
      <c r="B26" s="88">
        <v>106</v>
      </c>
      <c r="C26" s="89" t="s">
        <v>276</v>
      </c>
      <c r="D26" s="89"/>
      <c r="E26" s="89" t="s">
        <v>280</v>
      </c>
      <c r="F26" s="89" t="s">
        <v>227</v>
      </c>
      <c r="G26" s="90">
        <v>11.3</v>
      </c>
      <c r="H26" s="90"/>
      <c r="I26" s="90"/>
      <c r="J26" s="78" t="s">
        <v>312</v>
      </c>
      <c r="K26" s="90">
        <v>5</v>
      </c>
      <c r="L26" s="38">
        <f>VLOOKUP(K26,Reinigungstage!A10:H31,8,FALSE)</f>
        <v>57.66</v>
      </c>
      <c r="M26" s="38">
        <f t="shared" si="0"/>
        <v>651.55999999999995</v>
      </c>
      <c r="N26" s="92">
        <f t="shared" si="1"/>
        <v>0</v>
      </c>
      <c r="O26" s="38">
        <f ca="1">IF('SVS UnterhaltsRG'!H61="",0,'SVS UnterhaltsRG'!H61)</f>
        <v>0</v>
      </c>
      <c r="P26" s="38">
        <f t="shared" si="2"/>
        <v>0</v>
      </c>
      <c r="Q26" s="38">
        <f t="shared" ca="1" si="3"/>
        <v>0</v>
      </c>
      <c r="R26" s="38">
        <f t="shared" si="4"/>
        <v>0</v>
      </c>
      <c r="S26" s="38">
        <f t="shared" ca="1" si="5"/>
        <v>0</v>
      </c>
      <c r="T26" s="16" t="str">
        <f t="shared" si="6"/>
        <v>Leistungswert eintragen</v>
      </c>
      <c r="U26" s="16">
        <f t="shared" si="7"/>
        <v>75</v>
      </c>
      <c r="V26" s="16">
        <f t="shared" si="8"/>
        <v>0</v>
      </c>
    </row>
    <row r="27" spans="1:22" ht="15" customHeight="1" x14ac:dyDescent="0.2">
      <c r="A27" s="78">
        <v>6</v>
      </c>
      <c r="B27" s="88">
        <v>131</v>
      </c>
      <c r="C27" s="89" t="s">
        <v>276</v>
      </c>
      <c r="D27" s="89"/>
      <c r="E27" s="89" t="s">
        <v>286</v>
      </c>
      <c r="F27" s="89" t="s">
        <v>227</v>
      </c>
      <c r="G27" s="90">
        <v>336.16</v>
      </c>
      <c r="H27" s="90"/>
      <c r="I27" s="90"/>
      <c r="J27" s="78" t="s">
        <v>315</v>
      </c>
      <c r="K27" s="90">
        <v>5</v>
      </c>
      <c r="L27" s="38">
        <f>VLOOKUP(K27,Reinigungstage!A10:H31,8,FALSE)</f>
        <v>57.66</v>
      </c>
      <c r="M27" s="38">
        <f t="shared" ref="M27:M35" si="9">ROUND(IF(L27=0,0,L27*G27),2)</f>
        <v>19382.990000000002</v>
      </c>
      <c r="N27" s="92">
        <f t="shared" si="1"/>
        <v>0</v>
      </c>
      <c r="O27" s="38">
        <f ca="1">IF('SVS UnterhaltsRG'!H61="",0,'SVS UnterhaltsRG'!H61)</f>
        <v>0</v>
      </c>
      <c r="P27" s="38">
        <f t="shared" ref="P27:P35" si="10">ROUND(IF(N27=0,0,M27/N27),2)</f>
        <v>0</v>
      </c>
      <c r="Q27" s="38">
        <f t="shared" ref="Q27:Q35" ca="1" si="11">IF(M27=0,0,IF(O27="",0,ROUND(P27*O27,2)))</f>
        <v>0</v>
      </c>
      <c r="R27" s="38">
        <f t="shared" ref="R27:R35" si="12">ROUND(IF(P27=0,0,P27/L27),2)</f>
        <v>0</v>
      </c>
      <c r="S27" s="38">
        <f t="shared" ref="S27:S35" ca="1" si="13">ROUND(IF(Q27=0,0,Q27/L27),2)</f>
        <v>0</v>
      </c>
      <c r="T27" s="16" t="str">
        <f t="shared" ref="T27:T35" si="14">IF(M27=0,"",IF(N27=0,"Leistungswert eintragen",IF(O27=0,"SVS prüfen","")))</f>
        <v>Leistungswert eintragen</v>
      </c>
      <c r="U27" s="16">
        <f t="shared" ref="U27:U35" si="15">VLOOKUP(J27,$U$4:$V$14,2,FALSE)</f>
        <v>115</v>
      </c>
      <c r="V27" s="16">
        <f t="shared" ref="V27:V35" si="16">IF(M27=0,0,IF(U27&lt;N27,1,IF(U27&gt;=N27,0,"")))</f>
        <v>0</v>
      </c>
    </row>
    <row r="28" spans="1:22" ht="15" customHeight="1" x14ac:dyDescent="0.2">
      <c r="A28" s="78">
        <v>7</v>
      </c>
      <c r="B28" s="88">
        <v>141</v>
      </c>
      <c r="C28" s="89" t="s">
        <v>276</v>
      </c>
      <c r="D28" s="89"/>
      <c r="E28" s="89" t="s">
        <v>294</v>
      </c>
      <c r="F28" s="89" t="s">
        <v>295</v>
      </c>
      <c r="G28" s="90">
        <v>405</v>
      </c>
      <c r="H28" s="90"/>
      <c r="I28" s="90"/>
      <c r="J28" s="78" t="s">
        <v>317</v>
      </c>
      <c r="K28" s="90">
        <v>3</v>
      </c>
      <c r="L28" s="38">
        <f>VLOOKUP(K28,Reinigungstage!A10:H31,8,FALSE)</f>
        <v>34.6</v>
      </c>
      <c r="M28" s="38">
        <f t="shared" si="9"/>
        <v>14013</v>
      </c>
      <c r="N28" s="92">
        <f t="shared" si="1"/>
        <v>0</v>
      </c>
      <c r="O28" s="38">
        <f ca="1">IF('SVS UnterhaltsRG'!H61="",0,'SVS UnterhaltsRG'!H61)</f>
        <v>0</v>
      </c>
      <c r="P28" s="38">
        <f t="shared" si="10"/>
        <v>0</v>
      </c>
      <c r="Q28" s="38">
        <f t="shared" ca="1" si="11"/>
        <v>0</v>
      </c>
      <c r="R28" s="38">
        <f t="shared" si="12"/>
        <v>0</v>
      </c>
      <c r="S28" s="38">
        <f t="shared" ca="1" si="13"/>
        <v>0</v>
      </c>
      <c r="T28" s="16" t="str">
        <f t="shared" si="14"/>
        <v>Leistungswert eintragen</v>
      </c>
      <c r="U28" s="16">
        <f t="shared" si="15"/>
        <v>450</v>
      </c>
      <c r="V28" s="16">
        <f t="shared" si="16"/>
        <v>0</v>
      </c>
    </row>
    <row r="29" spans="1:22" ht="15" customHeight="1" x14ac:dyDescent="0.2">
      <c r="A29" s="78">
        <v>8</v>
      </c>
      <c r="B29" s="88">
        <v>153</v>
      </c>
      <c r="C29" s="89" t="s">
        <v>276</v>
      </c>
      <c r="D29" s="89"/>
      <c r="E29" s="89" t="s">
        <v>298</v>
      </c>
      <c r="F29" s="89" t="s">
        <v>227</v>
      </c>
      <c r="G29" s="90">
        <v>9.51</v>
      </c>
      <c r="H29" s="90"/>
      <c r="I29" s="90"/>
      <c r="J29" s="78" t="s">
        <v>312</v>
      </c>
      <c r="K29" s="90">
        <v>3</v>
      </c>
      <c r="L29" s="38">
        <f>VLOOKUP(K29,Reinigungstage!A10:H31,8,FALSE)</f>
        <v>34.6</v>
      </c>
      <c r="M29" s="38">
        <f t="shared" si="9"/>
        <v>329.05</v>
      </c>
      <c r="N29" s="92">
        <f t="shared" si="1"/>
        <v>0</v>
      </c>
      <c r="O29" s="38">
        <f ca="1">IF('SVS UnterhaltsRG'!H61="",0,'SVS UnterhaltsRG'!H61)</f>
        <v>0</v>
      </c>
      <c r="P29" s="38">
        <f t="shared" si="10"/>
        <v>0</v>
      </c>
      <c r="Q29" s="38">
        <f t="shared" ca="1" si="11"/>
        <v>0</v>
      </c>
      <c r="R29" s="38">
        <f t="shared" si="12"/>
        <v>0</v>
      </c>
      <c r="S29" s="38">
        <f t="shared" ca="1" si="13"/>
        <v>0</v>
      </c>
      <c r="T29" s="16" t="str">
        <f t="shared" si="14"/>
        <v>Leistungswert eintragen</v>
      </c>
      <c r="U29" s="16">
        <f t="shared" si="15"/>
        <v>75</v>
      </c>
      <c r="V29" s="16">
        <f t="shared" si="16"/>
        <v>0</v>
      </c>
    </row>
    <row r="30" spans="1:22" ht="15" customHeight="1" x14ac:dyDescent="0.2">
      <c r="A30" s="78">
        <v>9</v>
      </c>
      <c r="B30" s="88">
        <v>154</v>
      </c>
      <c r="C30" s="89" t="s">
        <v>276</v>
      </c>
      <c r="D30" s="89"/>
      <c r="E30" s="89" t="s">
        <v>299</v>
      </c>
      <c r="F30" s="89" t="s">
        <v>227</v>
      </c>
      <c r="G30" s="90">
        <v>2.99</v>
      </c>
      <c r="H30" s="90"/>
      <c r="I30" s="90"/>
      <c r="J30" s="78" t="s">
        <v>312</v>
      </c>
      <c r="K30" s="90">
        <v>3</v>
      </c>
      <c r="L30" s="38">
        <f>VLOOKUP(K30,Reinigungstage!A10:H31,8,FALSE)</f>
        <v>34.6</v>
      </c>
      <c r="M30" s="38">
        <f t="shared" si="9"/>
        <v>103.45</v>
      </c>
      <c r="N30" s="92">
        <f t="shared" si="1"/>
        <v>0</v>
      </c>
      <c r="O30" s="38">
        <f ca="1">IF('SVS UnterhaltsRG'!H61="",0,'SVS UnterhaltsRG'!H61)</f>
        <v>0</v>
      </c>
      <c r="P30" s="38">
        <f t="shared" si="10"/>
        <v>0</v>
      </c>
      <c r="Q30" s="38">
        <f t="shared" ca="1" si="11"/>
        <v>0</v>
      </c>
      <c r="R30" s="38">
        <f t="shared" si="12"/>
        <v>0</v>
      </c>
      <c r="S30" s="38">
        <f t="shared" ca="1" si="13"/>
        <v>0</v>
      </c>
      <c r="T30" s="16" t="str">
        <f t="shared" si="14"/>
        <v>Leistungswert eintragen</v>
      </c>
      <c r="U30" s="16">
        <f t="shared" si="15"/>
        <v>75</v>
      </c>
      <c r="V30" s="16">
        <f t="shared" si="16"/>
        <v>0</v>
      </c>
    </row>
    <row r="31" spans="1:22" ht="15" customHeight="1" x14ac:dyDescent="0.2">
      <c r="A31" s="78">
        <v>10</v>
      </c>
      <c r="B31" s="88">
        <v>155</v>
      </c>
      <c r="C31" s="89" t="s">
        <v>276</v>
      </c>
      <c r="D31" s="89"/>
      <c r="E31" s="89" t="s">
        <v>299</v>
      </c>
      <c r="F31" s="89" t="s">
        <v>227</v>
      </c>
      <c r="G31" s="90">
        <v>2.86</v>
      </c>
      <c r="H31" s="90"/>
      <c r="I31" s="90"/>
      <c r="J31" s="78" t="s">
        <v>312</v>
      </c>
      <c r="K31" s="90">
        <v>3</v>
      </c>
      <c r="L31" s="38">
        <f>VLOOKUP(K31,Reinigungstage!A10:H31,8,FALSE)</f>
        <v>34.6</v>
      </c>
      <c r="M31" s="38">
        <f t="shared" si="9"/>
        <v>98.96</v>
      </c>
      <c r="N31" s="92">
        <f t="shared" si="1"/>
        <v>0</v>
      </c>
      <c r="O31" s="38">
        <f ca="1">IF('SVS UnterhaltsRG'!H61="",0,'SVS UnterhaltsRG'!H61)</f>
        <v>0</v>
      </c>
      <c r="P31" s="38">
        <f t="shared" si="10"/>
        <v>0</v>
      </c>
      <c r="Q31" s="38">
        <f t="shared" ca="1" si="11"/>
        <v>0</v>
      </c>
      <c r="R31" s="38">
        <f t="shared" si="12"/>
        <v>0</v>
      </c>
      <c r="S31" s="38">
        <f t="shared" ca="1" si="13"/>
        <v>0</v>
      </c>
      <c r="T31" s="16" t="str">
        <f t="shared" si="14"/>
        <v>Leistungswert eintragen</v>
      </c>
      <c r="U31" s="16">
        <f t="shared" si="15"/>
        <v>75</v>
      </c>
      <c r="V31" s="16">
        <f t="shared" si="16"/>
        <v>0</v>
      </c>
    </row>
    <row r="32" spans="1:22" ht="15" customHeight="1" x14ac:dyDescent="0.2">
      <c r="A32" s="78">
        <v>11</v>
      </c>
      <c r="B32" s="88">
        <v>156</v>
      </c>
      <c r="C32" s="89" t="s">
        <v>276</v>
      </c>
      <c r="D32" s="89"/>
      <c r="E32" s="89" t="s">
        <v>300</v>
      </c>
      <c r="F32" s="89" t="s">
        <v>227</v>
      </c>
      <c r="G32" s="90">
        <v>10.44</v>
      </c>
      <c r="H32" s="90"/>
      <c r="I32" s="90"/>
      <c r="J32" s="78" t="s">
        <v>316</v>
      </c>
      <c r="K32" s="90">
        <v>3</v>
      </c>
      <c r="L32" s="38">
        <f>VLOOKUP(K32,Reinigungstage!A10:H31,8,FALSE)</f>
        <v>34.6</v>
      </c>
      <c r="M32" s="38">
        <f t="shared" si="9"/>
        <v>361.22</v>
      </c>
      <c r="N32" s="92">
        <f t="shared" si="1"/>
        <v>0</v>
      </c>
      <c r="O32" s="38">
        <f ca="1">IF('SVS UnterhaltsRG'!H61="",0,'SVS UnterhaltsRG'!H61)</f>
        <v>0</v>
      </c>
      <c r="P32" s="38">
        <f t="shared" si="10"/>
        <v>0</v>
      </c>
      <c r="Q32" s="38">
        <f t="shared" ca="1" si="11"/>
        <v>0</v>
      </c>
      <c r="R32" s="38">
        <f t="shared" si="12"/>
        <v>0</v>
      </c>
      <c r="S32" s="38">
        <f t="shared" ca="1" si="13"/>
        <v>0</v>
      </c>
      <c r="T32" s="16" t="str">
        <f t="shared" si="14"/>
        <v>Leistungswert eintragen</v>
      </c>
      <c r="U32" s="16">
        <f t="shared" si="15"/>
        <v>220</v>
      </c>
      <c r="V32" s="16">
        <f t="shared" si="16"/>
        <v>0</v>
      </c>
    </row>
    <row r="33" spans="1:22" ht="15" customHeight="1" x14ac:dyDescent="0.2">
      <c r="A33" s="78">
        <v>12</v>
      </c>
      <c r="B33" s="88">
        <v>157</v>
      </c>
      <c r="C33" s="89" t="s">
        <v>276</v>
      </c>
      <c r="D33" s="89"/>
      <c r="E33" s="89" t="s">
        <v>301</v>
      </c>
      <c r="F33" s="89" t="s">
        <v>227</v>
      </c>
      <c r="G33" s="90">
        <v>12.92</v>
      </c>
      <c r="H33" s="90"/>
      <c r="I33" s="90"/>
      <c r="J33" s="78" t="s">
        <v>312</v>
      </c>
      <c r="K33" s="90">
        <v>3</v>
      </c>
      <c r="L33" s="38">
        <f>VLOOKUP(K33,Reinigungstage!A10:H31,8,FALSE)</f>
        <v>34.6</v>
      </c>
      <c r="M33" s="38">
        <f t="shared" si="9"/>
        <v>447.03</v>
      </c>
      <c r="N33" s="92">
        <f t="shared" si="1"/>
        <v>0</v>
      </c>
      <c r="O33" s="38">
        <f ca="1">IF('SVS UnterhaltsRG'!H61="",0,'SVS UnterhaltsRG'!H61)</f>
        <v>0</v>
      </c>
      <c r="P33" s="38">
        <f t="shared" si="10"/>
        <v>0</v>
      </c>
      <c r="Q33" s="38">
        <f t="shared" ca="1" si="11"/>
        <v>0</v>
      </c>
      <c r="R33" s="38">
        <f t="shared" si="12"/>
        <v>0</v>
      </c>
      <c r="S33" s="38">
        <f t="shared" ca="1" si="13"/>
        <v>0</v>
      </c>
      <c r="T33" s="16" t="str">
        <f t="shared" si="14"/>
        <v>Leistungswert eintragen</v>
      </c>
      <c r="U33" s="16">
        <f t="shared" si="15"/>
        <v>75</v>
      </c>
      <c r="V33" s="16">
        <f t="shared" si="16"/>
        <v>0</v>
      </c>
    </row>
    <row r="34" spans="1:22" ht="15" customHeight="1" x14ac:dyDescent="0.2">
      <c r="A34" s="78">
        <v>13</v>
      </c>
      <c r="B34" s="88">
        <v>158</v>
      </c>
      <c r="C34" s="89" t="s">
        <v>276</v>
      </c>
      <c r="D34" s="89"/>
      <c r="E34" s="89" t="s">
        <v>302</v>
      </c>
      <c r="F34" s="89" t="s">
        <v>227</v>
      </c>
      <c r="G34" s="90">
        <v>10.58</v>
      </c>
      <c r="H34" s="90"/>
      <c r="I34" s="90"/>
      <c r="J34" s="78" t="s">
        <v>316</v>
      </c>
      <c r="K34" s="90">
        <v>3</v>
      </c>
      <c r="L34" s="38">
        <f>VLOOKUP(K34,Reinigungstage!A10:H31,8,FALSE)</f>
        <v>34.6</v>
      </c>
      <c r="M34" s="38">
        <f t="shared" si="9"/>
        <v>366.07</v>
      </c>
      <c r="N34" s="92">
        <f t="shared" si="1"/>
        <v>0</v>
      </c>
      <c r="O34" s="38">
        <f ca="1">IF('SVS UnterhaltsRG'!H61="",0,'SVS UnterhaltsRG'!H61)</f>
        <v>0</v>
      </c>
      <c r="P34" s="38">
        <f t="shared" si="10"/>
        <v>0</v>
      </c>
      <c r="Q34" s="38">
        <f t="shared" ca="1" si="11"/>
        <v>0</v>
      </c>
      <c r="R34" s="38">
        <f t="shared" si="12"/>
        <v>0</v>
      </c>
      <c r="S34" s="38">
        <f t="shared" ca="1" si="13"/>
        <v>0</v>
      </c>
      <c r="T34" s="16" t="str">
        <f t="shared" si="14"/>
        <v>Leistungswert eintragen</v>
      </c>
      <c r="U34" s="16">
        <f t="shared" si="15"/>
        <v>220</v>
      </c>
      <c r="V34" s="16">
        <f t="shared" si="16"/>
        <v>0</v>
      </c>
    </row>
    <row r="35" spans="1:22" ht="15" customHeight="1" x14ac:dyDescent="0.2">
      <c r="A35" s="78">
        <v>14</v>
      </c>
      <c r="B35" s="88">
        <v>159</v>
      </c>
      <c r="C35" s="89" t="s">
        <v>276</v>
      </c>
      <c r="D35" s="89"/>
      <c r="E35" s="89" t="s">
        <v>303</v>
      </c>
      <c r="F35" s="89" t="s">
        <v>227</v>
      </c>
      <c r="G35" s="90">
        <v>13.1</v>
      </c>
      <c r="H35" s="90"/>
      <c r="I35" s="90"/>
      <c r="J35" s="78" t="s">
        <v>312</v>
      </c>
      <c r="K35" s="90">
        <v>3</v>
      </c>
      <c r="L35" s="38">
        <f>VLOOKUP(K35,Reinigungstage!A10:H31,8,FALSE)</f>
        <v>34.6</v>
      </c>
      <c r="M35" s="38">
        <f t="shared" si="9"/>
        <v>453.26</v>
      </c>
      <c r="N35" s="92">
        <f t="shared" si="1"/>
        <v>0</v>
      </c>
      <c r="O35" s="38">
        <f ca="1">IF('SVS UnterhaltsRG'!H61="",0,'SVS UnterhaltsRG'!H61)</f>
        <v>0</v>
      </c>
      <c r="P35" s="38">
        <f t="shared" si="10"/>
        <v>0</v>
      </c>
      <c r="Q35" s="38">
        <f t="shared" ca="1" si="11"/>
        <v>0</v>
      </c>
      <c r="R35" s="38">
        <f t="shared" si="12"/>
        <v>0</v>
      </c>
      <c r="S35" s="38">
        <f t="shared" ca="1" si="13"/>
        <v>0</v>
      </c>
      <c r="T35" s="16" t="str">
        <f t="shared" si="14"/>
        <v>Leistungswert eintragen</v>
      </c>
      <c r="U35" s="16">
        <f t="shared" si="15"/>
        <v>75</v>
      </c>
      <c r="V35" s="16">
        <f t="shared" si="16"/>
        <v>0</v>
      </c>
    </row>
    <row r="36" spans="1:22" ht="15" customHeight="1" x14ac:dyDescent="0.2">
      <c r="A36" s="78">
        <v>15</v>
      </c>
      <c r="B36" s="88">
        <v>181</v>
      </c>
      <c r="C36" s="89" t="s">
        <v>276</v>
      </c>
      <c r="D36" s="89"/>
      <c r="E36" s="89" t="s">
        <v>305</v>
      </c>
      <c r="F36" s="89" t="s">
        <v>227</v>
      </c>
      <c r="G36" s="90">
        <v>89.62</v>
      </c>
      <c r="H36" s="90"/>
      <c r="I36" s="90"/>
      <c r="J36" s="78" t="s">
        <v>313</v>
      </c>
      <c r="K36" s="90">
        <v>5</v>
      </c>
      <c r="L36" s="38">
        <f>VLOOKUP(K36,Reinigungstage!A10:H31,8,FALSE)</f>
        <v>57.66</v>
      </c>
      <c r="M36" s="38">
        <f t="shared" ref="M36" si="17">ROUND(IF(L36=0,0,L36*G36),2)</f>
        <v>5167.49</v>
      </c>
      <c r="N36" s="92">
        <f t="shared" si="1"/>
        <v>0</v>
      </c>
      <c r="O36" s="38">
        <f ca="1">IF('SVS UnterhaltsRG'!H61="",0,'SVS UnterhaltsRG'!H61)</f>
        <v>0</v>
      </c>
      <c r="P36" s="38">
        <f t="shared" ref="P36" si="18">ROUND(IF(N36=0,0,M36/N36),2)</f>
        <v>0</v>
      </c>
      <c r="Q36" s="38">
        <f t="shared" ref="Q36" ca="1" si="19">IF(M36=0,0,IF(O36="",0,ROUND(P36*O36,2)))</f>
        <v>0</v>
      </c>
      <c r="R36" s="38">
        <f t="shared" ref="R36" si="20">ROUND(IF(P36=0,0,P36/L36),2)</f>
        <v>0</v>
      </c>
      <c r="S36" s="38">
        <f t="shared" ref="S36" ca="1" si="21">ROUND(IF(Q36=0,0,Q36/L36),2)</f>
        <v>0</v>
      </c>
      <c r="T36" s="16" t="str">
        <f t="shared" ref="T36" si="22">IF(M36=0,"",IF(N36=0,"Leistungswert eintragen",IF(O36=0,"SVS prüfen","")))</f>
        <v>Leistungswert eintragen</v>
      </c>
      <c r="U36" s="16">
        <f t="shared" ref="U36" si="23">VLOOKUP(J36,$U$4:$V$14,2,FALSE)</f>
        <v>450</v>
      </c>
      <c r="V36" s="16">
        <f t="shared" ref="V36" si="24">IF(M36=0,0,IF(U36&lt;N36,1,IF(U36&gt;=N36,0,"")))</f>
        <v>0</v>
      </c>
    </row>
  </sheetData>
  <sheetProtection algorithmName="SHA-512" hashValue="K/sHHudfMwK21AWbFx0Bpp13l8Jc8rjOFt6Yf1MzCZOXu2vViUmc7jZxjurSXdPZjoW42ZXUHx0mrDc/3fzX7w==" saltValue="QyYvvwDrrsGQxnkc+hox7w==" spinCount="100000" sheet="1" objects="1" scenarios="1"/>
  <sortState xmlns:xlrd2="http://schemas.microsoft.com/office/spreadsheetml/2017/richdata2" ref="U4:U14">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93"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92" priority="5" operator="containsText" text="Bitte prüfen Sie diese.">
      <formula>NOT(ISERROR(SEARCH("Bitte prüfen Sie diese.",L9)))</formula>
    </cfRule>
  </conditionalFormatting>
  <conditionalFormatting sqref="L10">
    <cfRule type="containsText" dxfId="91"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90" priority="3" operator="containsText" text="lediglich Fehleingaben vermeiden wollen.">
      <formula>NOT(ISERROR(SEARCH("lediglich Fehleingaben vermeiden wollen.",L11)))</formula>
    </cfRule>
  </conditionalFormatting>
  <conditionalFormatting sqref="M11">
    <cfRule type="containsText" dxfId="89" priority="8" operator="containsText" text="Bitte die Leistungswerte im Leistungsverzeichnis/ Tabellenblatt Leistungsrichtwerte">
      <formula>NOT(ISERROR(SEARCH("Bitte die Leistungswerte im Leistungsverzeichnis/ Tabellenblatt Leistungsrichtwerte",M11)))</formula>
    </cfRule>
  </conditionalFormatting>
  <conditionalFormatting sqref="M12">
    <cfRule type="containsText" dxfId="88" priority="7" operator="containsText" text="für die Objektart prüfen.">
      <formula>NOT(ISERROR(SEARCH("für die Objektart prüfen.",M12)))</formula>
    </cfRule>
  </conditionalFormatting>
  <conditionalFormatting sqref="N13">
    <cfRule type="expression" dxfId="87" priority="2" stopIfTrue="1">
      <formula>N13=0</formula>
    </cfRule>
  </conditionalFormatting>
  <conditionalFormatting sqref="N14">
    <cfRule type="expression" dxfId="86" priority="1">
      <formula>N14=0</formula>
    </cfRule>
  </conditionalFormatting>
  <conditionalFormatting sqref="N22:N36">
    <cfRule type="expression" dxfId="85" priority="11">
      <formula>V22=0</formula>
    </cfRule>
    <cfRule type="expression" dxfId="84" priority="12" stopIfTrue="1">
      <formula>V22=1</formula>
    </cfRule>
  </conditionalFormatting>
  <conditionalFormatting sqref="O13">
    <cfRule type="containsText" dxfId="83" priority="10"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82" priority="9" operator="containsText" text="Wert(e) prüfen.">
      <formula>NOT(ISERROR(SEARCH("Wert(e) prüfen.",O14)))</formula>
    </cfRule>
  </conditionalFormatting>
  <conditionalFormatting sqref="T22:T36">
    <cfRule type="containsText" dxfId="81" priority="13" stopIfTrue="1" operator="containsText" text="SVS prüfen">
      <formula>NOT(ISERROR(SEARCH("SVS prüfen",T22)))</formula>
    </cfRule>
    <cfRule type="containsText" dxfId="80" priority="14" stopIfTrue="1" operator="containsText" text="Leistungswert eintragen">
      <formula>NOT(ISERROR(SEARCH("Leistungswert eintragen",T22)))</formula>
    </cfRule>
  </conditionalFormatting>
  <hyperlinks>
    <hyperlink ref="M1" location="Inhaltsverzeichnis!A1" display="Zurück zum Inhaltsverzeichnis" xr:uid="{69F13666-7DF5-424E-9700-7DB43FF06B33}"/>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Unter Fer GS Zeesen</oddFooter>
  </headerFooter>
  <rowBreaks count="1" manualBreakCount="1">
    <brk id="36" max="16383" man="1"/>
  </rowBreaks>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0593"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110594"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110595"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110596"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3ED9-72EB-4221-A7BD-2B5C8BE37D65}">
  <sheetPr>
    <tabColor indexed="40"/>
  </sheetPr>
  <dimension ref="A1:V30"/>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7109375" style="16" customWidth="1"/>
    <col min="2" max="2" width="7.7109375" style="16" customWidth="1"/>
    <col min="3" max="3" width="5.7109375" style="16" customWidth="1"/>
    <col min="4" max="4" width="8.28515625" style="16" customWidth="1"/>
    <col min="5" max="5" width="21.7109375" style="16" customWidth="1"/>
    <col min="6" max="6" width="13.5703125" style="16" bestFit="1"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2.140625" style="16" customWidth="1"/>
    <col min="14" max="14" width="9.42578125" style="16" customWidth="1"/>
    <col min="15" max="15" width="8.42578125" style="16" customWidth="1"/>
    <col min="16" max="17" width="11.42578125" style="16" customWidth="1"/>
    <col min="18" max="19" width="11.28515625" style="16" customWidth="1"/>
    <col min="20" max="20" width="22.28515625" style="16" customWidth="1"/>
    <col min="21" max="21" width="0" style="16" hidden="1" customWidth="1"/>
    <col min="22" max="16384" width="11.42578125" style="16" hidden="1"/>
  </cols>
  <sheetData>
    <row r="1" spans="1:22" ht="15" customHeight="1" x14ac:dyDescent="0.2">
      <c r="M1" s="1" t="s">
        <v>100</v>
      </c>
    </row>
    <row r="2" spans="1:22" ht="21" customHeight="1" x14ac:dyDescent="0.2">
      <c r="A2" s="167" t="s">
        <v>172</v>
      </c>
      <c r="B2" s="168"/>
      <c r="C2" s="168"/>
      <c r="D2" s="168" t="b">
        <v>0</v>
      </c>
      <c r="E2" s="169"/>
      <c r="G2" s="170" t="s">
        <v>185</v>
      </c>
      <c r="H2" s="170" t="s">
        <v>177</v>
      </c>
      <c r="I2" s="170" t="s">
        <v>178</v>
      </c>
      <c r="J2" s="170" t="s">
        <v>197</v>
      </c>
      <c r="M2" s="8"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2" ht="21" customHeight="1" x14ac:dyDescent="0.2">
      <c r="A3" s="75" t="s">
        <v>224</v>
      </c>
      <c r="B3" s="76"/>
      <c r="C3" s="76"/>
      <c r="D3" s="76"/>
      <c r="E3" s="77"/>
      <c r="G3" s="171"/>
      <c r="H3" s="171" t="b">
        <v>0</v>
      </c>
      <c r="I3" s="171"/>
      <c r="J3" s="171"/>
      <c r="M3" s="8" t="b">
        <v>0</v>
      </c>
      <c r="N3" s="129"/>
      <c r="O3" s="129"/>
      <c r="P3" s="129"/>
      <c r="Q3" s="129"/>
    </row>
    <row r="4" spans="1:22" ht="15" customHeight="1" x14ac:dyDescent="0.2">
      <c r="A4" s="165" t="s">
        <v>91</v>
      </c>
      <c r="B4" s="153" t="str">
        <f>IF(Inhaltsverzeichnis!C3="","",Inhaltsverzeichnis!C3)</f>
        <v/>
      </c>
      <c r="C4" s="154"/>
      <c r="D4" s="154"/>
      <c r="E4" s="155"/>
      <c r="G4" s="78" t="s">
        <v>314</v>
      </c>
      <c r="H4" s="91"/>
      <c r="I4" s="79">
        <f ca="1">SUMIF('Kal Unter Bed GS Zeesen'!J22:M30,$G$4,'Kal Unter Bed GS Zeesen'!M22:M30)</f>
        <v>618.96</v>
      </c>
      <c r="J4" s="23">
        <f>COUNTIFS('Kal Unter Bed GS Zeesen'!J22:M30,$G$4)</f>
        <v>4</v>
      </c>
      <c r="M4" s="8" t="b">
        <v>0</v>
      </c>
      <c r="N4" s="129"/>
      <c r="O4" s="129"/>
      <c r="P4" s="129"/>
      <c r="Q4" s="129"/>
      <c r="U4" s="78" t="s">
        <v>314</v>
      </c>
      <c r="V4" s="16">
        <v>195</v>
      </c>
    </row>
    <row r="5" spans="1:22" ht="15" customHeight="1" x14ac:dyDescent="0.2">
      <c r="A5" s="166"/>
      <c r="B5" s="156"/>
      <c r="C5" s="157"/>
      <c r="D5" s="157"/>
      <c r="E5" s="158"/>
      <c r="G5" s="78" t="s">
        <v>309</v>
      </c>
      <c r="H5" s="91"/>
      <c r="I5" s="79">
        <f ca="1">SUMIF('Kal Unter Bed GS Zeesen'!J22:M30,$G$5,'Kal Unter Bed GS Zeesen'!M22:M30)</f>
        <v>36.799999999999997</v>
      </c>
      <c r="J5" s="23">
        <f>COUNTIFS('Kal Unter Bed GS Zeesen'!J22:M30,$G$5)</f>
        <v>1</v>
      </c>
      <c r="M5" s="8" t="b">
        <v>0</v>
      </c>
      <c r="N5" s="129"/>
      <c r="O5" s="129"/>
      <c r="P5" s="129"/>
      <c r="Q5" s="129"/>
      <c r="U5" s="78" t="s">
        <v>309</v>
      </c>
      <c r="V5" s="16">
        <v>215</v>
      </c>
    </row>
    <row r="6" spans="1:22" ht="15" customHeight="1" x14ac:dyDescent="0.2">
      <c r="A6" s="80" t="s">
        <v>195</v>
      </c>
      <c r="B6" s="159" t="s">
        <v>215</v>
      </c>
      <c r="C6" s="160"/>
      <c r="D6" s="160"/>
      <c r="E6" s="161"/>
      <c r="G6" s="78" t="s">
        <v>312</v>
      </c>
      <c r="H6" s="91"/>
      <c r="I6" s="79">
        <v>26.48</v>
      </c>
      <c r="J6" s="23">
        <v>2</v>
      </c>
      <c r="U6" s="78" t="s">
        <v>311</v>
      </c>
      <c r="V6" s="16">
        <v>170</v>
      </c>
    </row>
    <row r="7" spans="1:22" ht="15" customHeight="1" x14ac:dyDescent="0.2">
      <c r="A7" s="81" t="s">
        <v>193</v>
      </c>
      <c r="B7" s="162" t="s">
        <v>216</v>
      </c>
      <c r="C7" s="160"/>
      <c r="D7" s="160"/>
      <c r="E7" s="161"/>
      <c r="G7" s="78" t="s">
        <v>315</v>
      </c>
      <c r="H7" s="91"/>
      <c r="I7" s="79">
        <v>81.039999999999992</v>
      </c>
      <c r="J7" s="23">
        <v>2</v>
      </c>
      <c r="U7" s="78" t="s">
        <v>312</v>
      </c>
      <c r="V7" s="16">
        <v>75</v>
      </c>
    </row>
    <row r="8" spans="1:22" ht="15" customHeight="1" x14ac:dyDescent="0.2">
      <c r="A8" s="81" t="s">
        <v>194</v>
      </c>
      <c r="B8" s="159"/>
      <c r="C8" s="160"/>
      <c r="D8" s="160"/>
      <c r="E8" s="161"/>
      <c r="G8" s="94"/>
      <c r="U8" s="78" t="s">
        <v>317</v>
      </c>
      <c r="V8" s="16">
        <v>450</v>
      </c>
    </row>
    <row r="9" spans="1:22" ht="15" customHeight="1" x14ac:dyDescent="0.2">
      <c r="A9" s="80" t="s">
        <v>192</v>
      </c>
      <c r="B9" s="163" t="s">
        <v>214</v>
      </c>
      <c r="C9" s="160"/>
      <c r="D9" s="160"/>
      <c r="E9" s="161"/>
      <c r="G9" s="94"/>
      <c r="U9" s="78" t="s">
        <v>310</v>
      </c>
      <c r="V9" s="16">
        <v>300</v>
      </c>
    </row>
    <row r="10" spans="1:22" ht="15" customHeight="1" x14ac:dyDescent="0.2">
      <c r="A10" s="81" t="s">
        <v>174</v>
      </c>
      <c r="B10" s="159" t="s">
        <v>217</v>
      </c>
      <c r="C10" s="160"/>
      <c r="D10" s="160"/>
      <c r="E10" s="161"/>
      <c r="G10" s="94"/>
      <c r="U10" s="78" t="s">
        <v>307</v>
      </c>
      <c r="V10" s="16">
        <v>165</v>
      </c>
    </row>
    <row r="11" spans="1:22" ht="15" customHeight="1" x14ac:dyDescent="0.2">
      <c r="A11" s="81" t="s">
        <v>175</v>
      </c>
      <c r="B11" s="164" t="s">
        <v>218</v>
      </c>
      <c r="C11" s="160"/>
      <c r="D11" s="160"/>
      <c r="E11" s="161"/>
      <c r="G11" s="94"/>
      <c r="M11" s="16" t="str">
        <f>IF(N13&gt;0,"Bitte die Leistungswerte im Leistungsverzeichnis/ Tabellenblatt Leistungsrichtwerte","")</f>
        <v/>
      </c>
      <c r="U11" s="78" t="s">
        <v>316</v>
      </c>
      <c r="V11" s="16">
        <v>220</v>
      </c>
    </row>
    <row r="12" spans="1:22" ht="15" customHeight="1" x14ac:dyDescent="0.2">
      <c r="A12" s="81" t="s">
        <v>176</v>
      </c>
      <c r="B12" s="159" t="s">
        <v>219</v>
      </c>
      <c r="C12" s="160"/>
      <c r="D12" s="160"/>
      <c r="E12" s="161"/>
      <c r="G12" s="94"/>
      <c r="M12" s="16" t="str">
        <f>IF(N13&gt;0,"für die Objektart prüfen.","")</f>
        <v/>
      </c>
      <c r="U12" s="78" t="s">
        <v>308</v>
      </c>
      <c r="V12" s="16">
        <v>240</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94"/>
      <c r="N13" s="82">
        <f>COUNTIF(V22:V$30,1)</f>
        <v>0</v>
      </c>
      <c r="O13" s="16" t="str">
        <f>IF(N13&gt;0,"Wert(e) überschritten, bitte mit dem Angebot plausibel darlegen.","")</f>
        <v/>
      </c>
      <c r="U13" s="78" t="s">
        <v>313</v>
      </c>
      <c r="V13" s="16">
        <v>450</v>
      </c>
    </row>
    <row r="14" spans="1:22" ht="15" customHeight="1" x14ac:dyDescent="0.2">
      <c r="G14" s="94"/>
      <c r="N14" s="83">
        <f>COUNTIF(V22:V$30,0)</f>
        <v>9</v>
      </c>
      <c r="O14" s="16" t="str">
        <f>IF(N14&gt;0,"Wert(e) korrekt","")</f>
        <v>Wert(e) korrekt</v>
      </c>
      <c r="T14" s="84">
        <f>IF(COUNTA($T$22:$T$30)-COUNTBLANK($T$22:$T$30)=0,"",COUNTA($T$22:$T$30)-COUNTBLANK($T$22:$T$30))</f>
        <v>9</v>
      </c>
      <c r="U14" s="78" t="s">
        <v>315</v>
      </c>
      <c r="V14" s="16">
        <v>115</v>
      </c>
    </row>
    <row r="15" spans="1:22" ht="15" hidden="1" customHeight="1" x14ac:dyDescent="0.2"/>
    <row r="16" spans="1:22" ht="15" hidden="1" customHeight="1" x14ac:dyDescent="0.2"/>
    <row r="17" spans="1:22" ht="15" hidden="1" customHeight="1" x14ac:dyDescent="0.2"/>
    <row r="18" spans="1:22" ht="15" hidden="1" customHeight="1" x14ac:dyDescent="0.2"/>
    <row r="19" spans="1:22" ht="15" hidden="1" customHeight="1" x14ac:dyDescent="0.2"/>
    <row r="20" spans="1:22" ht="45" customHeight="1" x14ac:dyDescent="0.2">
      <c r="A20" s="33" t="s">
        <v>92</v>
      </c>
      <c r="B20" s="33" t="s">
        <v>97</v>
      </c>
      <c r="C20" s="33" t="s">
        <v>93</v>
      </c>
      <c r="D20" s="33" t="s">
        <v>94</v>
      </c>
      <c r="E20" s="33" t="s">
        <v>98</v>
      </c>
      <c r="F20" s="33" t="s">
        <v>95</v>
      </c>
      <c r="G20" s="33" t="s">
        <v>117</v>
      </c>
      <c r="H20" s="33" t="s">
        <v>107</v>
      </c>
      <c r="I20" s="33" t="s">
        <v>108</v>
      </c>
      <c r="J20" s="33" t="s">
        <v>99</v>
      </c>
      <c r="K20" s="33" t="s">
        <v>105</v>
      </c>
      <c r="L20" s="33" t="s">
        <v>136</v>
      </c>
      <c r="M20" s="33" t="s">
        <v>110</v>
      </c>
      <c r="N20" s="33" t="s">
        <v>106</v>
      </c>
      <c r="O20" s="33" t="s">
        <v>111</v>
      </c>
      <c r="P20" s="33" t="s">
        <v>112</v>
      </c>
      <c r="Q20" s="33" t="s">
        <v>113</v>
      </c>
      <c r="R20" s="33" t="s">
        <v>196</v>
      </c>
      <c r="S20" s="33" t="s">
        <v>135</v>
      </c>
    </row>
    <row r="21" spans="1:22" ht="29.1" customHeight="1" x14ac:dyDescent="0.2">
      <c r="A21" s="85" t="s">
        <v>120</v>
      </c>
      <c r="B21" s="60"/>
      <c r="C21" s="60"/>
      <c r="D21" s="60"/>
      <c r="E21" s="60"/>
      <c r="F21" s="60"/>
      <c r="G21" s="86">
        <f>SUM($G$22:$G$30)</f>
        <v>190.82</v>
      </c>
      <c r="H21" s="86">
        <f>SUM($H$22:$H$30)</f>
        <v>0</v>
      </c>
      <c r="I21" s="86">
        <f>SUM($I$22:$I$30)</f>
        <v>0</v>
      </c>
      <c r="J21" s="38"/>
      <c r="K21" s="38"/>
      <c r="L21" s="87">
        <f>MAX(L22:L30)</f>
        <v>4</v>
      </c>
      <c r="M21" s="86">
        <f>SUM($M$22:$M$30)</f>
        <v>763.28</v>
      </c>
      <c r="N21" s="38"/>
      <c r="O21" s="38"/>
      <c r="P21" s="86">
        <f>SUM($P$22:$P$30)</f>
        <v>0</v>
      </c>
      <c r="Q21" s="86">
        <f ca="1">SUM($Q$22:$Q$30)</f>
        <v>0</v>
      </c>
      <c r="R21" s="86">
        <f>ROUND(IF(L21=0,0,P21/L21),2)</f>
        <v>0</v>
      </c>
      <c r="S21" s="86">
        <f ca="1">ROUND(IF(L21=0,0,Q21/L21),2)</f>
        <v>0</v>
      </c>
    </row>
    <row r="22" spans="1:22" ht="15" customHeight="1" x14ac:dyDescent="0.2">
      <c r="A22" s="78">
        <v>1</v>
      </c>
      <c r="B22" s="88">
        <v>202</v>
      </c>
      <c r="C22" s="89" t="s">
        <v>248</v>
      </c>
      <c r="D22" s="89"/>
      <c r="E22" s="89" t="s">
        <v>249</v>
      </c>
      <c r="F22" s="89" t="s">
        <v>229</v>
      </c>
      <c r="G22" s="90">
        <v>36.75</v>
      </c>
      <c r="H22" s="90"/>
      <c r="I22" s="90"/>
      <c r="J22" s="78" t="s">
        <v>314</v>
      </c>
      <c r="K22" s="78" t="s">
        <v>163</v>
      </c>
      <c r="L22" s="38">
        <f>VLOOKUP(K22,Reinigungstage!A10:J31,10,FALSE)</f>
        <v>4</v>
      </c>
      <c r="M22" s="38">
        <f t="shared" ref="M22:M23" si="0">ROUND(IF(L22=0,0,L22*G22),2)</f>
        <v>147</v>
      </c>
      <c r="N22" s="92">
        <f t="shared" ref="N22:N23" si="1">VLOOKUP(J22,$G$4:$H$14,2,FALSE)</f>
        <v>0</v>
      </c>
      <c r="O22" s="38">
        <f ca="1">IF('SVS UnterhaltsRG'!H61="",0,'SVS UnterhaltsRG'!H61)</f>
        <v>0</v>
      </c>
      <c r="P22" s="38">
        <f t="shared" ref="P22:P23" si="2">ROUND(IF(N22=0,0,M22/N22),2)</f>
        <v>0</v>
      </c>
      <c r="Q22" s="38">
        <f t="shared" ref="Q22:Q23" ca="1" si="3">IF(M22=0,0,IF(O22="",0,ROUND(P22*O22,2)))</f>
        <v>0</v>
      </c>
      <c r="R22" s="38">
        <f t="shared" ref="R22:R23" si="4">ROUND(IF(P22=0,0,P22/L22),2)</f>
        <v>0</v>
      </c>
      <c r="S22" s="38">
        <f t="shared" ref="S22:S23" ca="1" si="5">ROUND(IF(Q22=0,0,Q22/L22),2)</f>
        <v>0</v>
      </c>
      <c r="T22" s="16" t="str">
        <f t="shared" ref="T22:T23" si="6">IF(M22=0,"",IF(N22=0,"Leistungswert eintragen",IF(O22=0,"SVS prüfen","")))</f>
        <v>Leistungswert eintragen</v>
      </c>
      <c r="U22" s="16">
        <f t="shared" ref="U22:U23" si="7">VLOOKUP(J22,$U$4:$V$14,2,FALSE)</f>
        <v>195</v>
      </c>
      <c r="V22" s="16">
        <f t="shared" ref="V22:V23" si="8">IF(M22=0,0,IF(U22&lt;N22,1,IF(U22&gt;=N22,0,"")))</f>
        <v>0</v>
      </c>
    </row>
    <row r="23" spans="1:22" ht="15" customHeight="1" x14ac:dyDescent="0.2">
      <c r="A23" s="78">
        <v>2</v>
      </c>
      <c r="B23" s="88">
        <v>203</v>
      </c>
      <c r="C23" s="89" t="s">
        <v>248</v>
      </c>
      <c r="D23" s="89"/>
      <c r="E23" s="89" t="s">
        <v>250</v>
      </c>
      <c r="F23" s="89" t="s">
        <v>229</v>
      </c>
      <c r="G23" s="90">
        <v>14.42</v>
      </c>
      <c r="H23" s="90"/>
      <c r="I23" s="90"/>
      <c r="J23" s="78" t="s">
        <v>314</v>
      </c>
      <c r="K23" s="78" t="s">
        <v>163</v>
      </c>
      <c r="L23" s="38">
        <f>VLOOKUP(K23,Reinigungstage!A10:J31,10,FALSE)</f>
        <v>4</v>
      </c>
      <c r="M23" s="38">
        <f t="shared" si="0"/>
        <v>57.68</v>
      </c>
      <c r="N23" s="92">
        <f t="shared" si="1"/>
        <v>0</v>
      </c>
      <c r="O23" s="38">
        <f ca="1">IF('SVS UnterhaltsRG'!H61="",0,'SVS UnterhaltsRG'!H61)</f>
        <v>0</v>
      </c>
      <c r="P23" s="38">
        <f t="shared" si="2"/>
        <v>0</v>
      </c>
      <c r="Q23" s="38">
        <f t="shared" ca="1" si="3"/>
        <v>0</v>
      </c>
      <c r="R23" s="38">
        <f t="shared" si="4"/>
        <v>0</v>
      </c>
      <c r="S23" s="38">
        <f t="shared" ca="1" si="5"/>
        <v>0</v>
      </c>
      <c r="T23" s="16" t="str">
        <f t="shared" si="6"/>
        <v>Leistungswert eintragen</v>
      </c>
      <c r="U23" s="16">
        <f t="shared" si="7"/>
        <v>195</v>
      </c>
      <c r="V23" s="16">
        <f t="shared" si="8"/>
        <v>0</v>
      </c>
    </row>
    <row r="24" spans="1:22" ht="15" customHeight="1" x14ac:dyDescent="0.2">
      <c r="A24" s="78">
        <v>3</v>
      </c>
      <c r="B24" s="88">
        <v>204</v>
      </c>
      <c r="C24" s="89" t="s">
        <v>248</v>
      </c>
      <c r="D24" s="89"/>
      <c r="E24" s="89" t="s">
        <v>251</v>
      </c>
      <c r="F24" s="89" t="s">
        <v>229</v>
      </c>
      <c r="G24" s="90">
        <v>25.14</v>
      </c>
      <c r="H24" s="90"/>
      <c r="I24" s="90"/>
      <c r="J24" s="78" t="s">
        <v>314</v>
      </c>
      <c r="K24" s="78" t="s">
        <v>163</v>
      </c>
      <c r="L24" s="38">
        <f>VLOOKUP(K24,Reinigungstage!A10:J31,10,FALSE)</f>
        <v>4</v>
      </c>
      <c r="M24" s="38">
        <f t="shared" ref="M24:M29" si="9">ROUND(IF(L24=0,0,L24*G24),2)</f>
        <v>100.56</v>
      </c>
      <c r="N24" s="92">
        <f t="shared" ref="N24:N29" si="10">VLOOKUP(J24,$G$4:$H$14,2,FALSE)</f>
        <v>0</v>
      </c>
      <c r="O24" s="38">
        <f ca="1">IF('SVS UnterhaltsRG'!H61="",0,'SVS UnterhaltsRG'!H61)</f>
        <v>0</v>
      </c>
      <c r="P24" s="38">
        <f t="shared" ref="P24:P29" si="11">ROUND(IF(N24=0,0,M24/N24),2)</f>
        <v>0</v>
      </c>
      <c r="Q24" s="38">
        <f t="shared" ref="Q24:Q29" ca="1" si="12">IF(M24=0,0,IF(O24="",0,ROUND(P24*O24,2)))</f>
        <v>0</v>
      </c>
      <c r="R24" s="38">
        <f t="shared" ref="R24:R29" si="13">ROUND(IF(P24=0,0,P24/L24),2)</f>
        <v>0</v>
      </c>
      <c r="S24" s="38">
        <f t="shared" ref="S24:S29" ca="1" si="14">ROUND(IF(Q24=0,0,Q24/L24),2)</f>
        <v>0</v>
      </c>
      <c r="T24" s="16" t="str">
        <f t="shared" ref="T24:T29" si="15">IF(M24=0,"",IF(N24=0,"Leistungswert eintragen",IF(O24=0,"SVS prüfen","")))</f>
        <v>Leistungswert eintragen</v>
      </c>
      <c r="U24" s="16">
        <f t="shared" ref="U24:U29" si="16">VLOOKUP(J24,$U$4:$V$14,2,FALSE)</f>
        <v>195</v>
      </c>
      <c r="V24" s="16">
        <f t="shared" ref="V24:V29" si="17">IF(M24=0,0,IF(U24&lt;N24,1,IF(U24&gt;=N24,0,"")))</f>
        <v>0</v>
      </c>
    </row>
    <row r="25" spans="1:22" ht="15" customHeight="1" x14ac:dyDescent="0.2">
      <c r="A25" s="78">
        <v>4</v>
      </c>
      <c r="B25" s="88">
        <v>205</v>
      </c>
      <c r="C25" s="89" t="s">
        <v>248</v>
      </c>
      <c r="D25" s="89"/>
      <c r="E25" s="89" t="s">
        <v>252</v>
      </c>
      <c r="F25" s="89" t="s">
        <v>229</v>
      </c>
      <c r="G25" s="90">
        <v>9.1999999999999993</v>
      </c>
      <c r="H25" s="90"/>
      <c r="I25" s="90"/>
      <c r="J25" s="78" t="s">
        <v>309</v>
      </c>
      <c r="K25" s="78" t="s">
        <v>163</v>
      </c>
      <c r="L25" s="38">
        <f>VLOOKUP(K25,Reinigungstage!A10:J31,10,FALSE)</f>
        <v>4</v>
      </c>
      <c r="M25" s="38">
        <f t="shared" si="9"/>
        <v>36.799999999999997</v>
      </c>
      <c r="N25" s="92">
        <f t="shared" si="10"/>
        <v>0</v>
      </c>
      <c r="O25" s="38">
        <f ca="1">IF('SVS UnterhaltsRG'!H61="",0,'SVS UnterhaltsRG'!H61)</f>
        <v>0</v>
      </c>
      <c r="P25" s="38">
        <f t="shared" si="11"/>
        <v>0</v>
      </c>
      <c r="Q25" s="38">
        <f t="shared" ca="1" si="12"/>
        <v>0</v>
      </c>
      <c r="R25" s="38">
        <f t="shared" si="13"/>
        <v>0</v>
      </c>
      <c r="S25" s="38">
        <f t="shared" ca="1" si="14"/>
        <v>0</v>
      </c>
      <c r="T25" s="16" t="str">
        <f t="shared" si="15"/>
        <v>Leistungswert eintragen</v>
      </c>
      <c r="U25" s="16">
        <f t="shared" si="16"/>
        <v>215</v>
      </c>
      <c r="V25" s="16">
        <f t="shared" si="17"/>
        <v>0</v>
      </c>
    </row>
    <row r="26" spans="1:22" ht="15" customHeight="1" x14ac:dyDescent="0.2">
      <c r="A26" s="78">
        <v>5</v>
      </c>
      <c r="B26" s="88">
        <v>208</v>
      </c>
      <c r="C26" s="89" t="s">
        <v>248</v>
      </c>
      <c r="D26" s="89"/>
      <c r="E26" s="89" t="s">
        <v>255</v>
      </c>
      <c r="F26" s="89" t="s">
        <v>227</v>
      </c>
      <c r="G26" s="90">
        <v>3.31</v>
      </c>
      <c r="H26" s="90"/>
      <c r="I26" s="90"/>
      <c r="J26" s="78" t="s">
        <v>312</v>
      </c>
      <c r="K26" s="78" t="s">
        <v>163</v>
      </c>
      <c r="L26" s="38">
        <f>VLOOKUP(K26,Reinigungstage!A10:J31,10,FALSE)</f>
        <v>4</v>
      </c>
      <c r="M26" s="38">
        <f t="shared" si="9"/>
        <v>13.24</v>
      </c>
      <c r="N26" s="92">
        <f t="shared" si="10"/>
        <v>0</v>
      </c>
      <c r="O26" s="38">
        <f ca="1">IF('SVS UnterhaltsRG'!H61="",0,'SVS UnterhaltsRG'!H61)</f>
        <v>0</v>
      </c>
      <c r="P26" s="38">
        <f t="shared" si="11"/>
        <v>0</v>
      </c>
      <c r="Q26" s="38">
        <f t="shared" ca="1" si="12"/>
        <v>0</v>
      </c>
      <c r="R26" s="38">
        <f t="shared" si="13"/>
        <v>0</v>
      </c>
      <c r="S26" s="38">
        <f t="shared" ca="1" si="14"/>
        <v>0</v>
      </c>
      <c r="T26" s="16" t="str">
        <f t="shared" si="15"/>
        <v>Leistungswert eintragen</v>
      </c>
      <c r="U26" s="16">
        <f t="shared" si="16"/>
        <v>75</v>
      </c>
      <c r="V26" s="16">
        <f t="shared" si="17"/>
        <v>0</v>
      </c>
    </row>
    <row r="27" spans="1:22" ht="15" customHeight="1" x14ac:dyDescent="0.2">
      <c r="A27" s="78">
        <v>6</v>
      </c>
      <c r="B27" s="88">
        <v>209</v>
      </c>
      <c r="C27" s="89" t="s">
        <v>248</v>
      </c>
      <c r="D27" s="89"/>
      <c r="E27" s="89" t="s">
        <v>255</v>
      </c>
      <c r="F27" s="89" t="s">
        <v>227</v>
      </c>
      <c r="G27" s="90">
        <v>3.31</v>
      </c>
      <c r="H27" s="90"/>
      <c r="I27" s="90"/>
      <c r="J27" s="78" t="s">
        <v>312</v>
      </c>
      <c r="K27" s="78" t="s">
        <v>163</v>
      </c>
      <c r="L27" s="38">
        <f>VLOOKUP(K27,Reinigungstage!A10:J31,10,FALSE)</f>
        <v>4</v>
      </c>
      <c r="M27" s="38">
        <f t="shared" si="9"/>
        <v>13.24</v>
      </c>
      <c r="N27" s="92">
        <f t="shared" si="10"/>
        <v>0</v>
      </c>
      <c r="O27" s="38">
        <f ca="1">IF('SVS UnterhaltsRG'!H61="",0,'SVS UnterhaltsRG'!H61)</f>
        <v>0</v>
      </c>
      <c r="P27" s="38">
        <f t="shared" si="11"/>
        <v>0</v>
      </c>
      <c r="Q27" s="38">
        <f t="shared" ca="1" si="12"/>
        <v>0</v>
      </c>
      <c r="R27" s="38">
        <f t="shared" si="13"/>
        <v>0</v>
      </c>
      <c r="S27" s="38">
        <f t="shared" ca="1" si="14"/>
        <v>0</v>
      </c>
      <c r="T27" s="16" t="str">
        <f t="shared" si="15"/>
        <v>Leistungswert eintragen</v>
      </c>
      <c r="U27" s="16">
        <f t="shared" si="16"/>
        <v>75</v>
      </c>
      <c r="V27" s="16">
        <f t="shared" si="17"/>
        <v>0</v>
      </c>
    </row>
    <row r="28" spans="1:22" ht="15" customHeight="1" x14ac:dyDescent="0.2">
      <c r="A28" s="78">
        <v>7</v>
      </c>
      <c r="B28" s="88">
        <v>224</v>
      </c>
      <c r="C28" s="89" t="s">
        <v>248</v>
      </c>
      <c r="D28" s="89"/>
      <c r="E28" s="89" t="s">
        <v>256</v>
      </c>
      <c r="F28" s="89" t="s">
        <v>229</v>
      </c>
      <c r="G28" s="90">
        <v>78.430000000000007</v>
      </c>
      <c r="H28" s="90"/>
      <c r="I28" s="90"/>
      <c r="J28" s="78" t="s">
        <v>314</v>
      </c>
      <c r="K28" s="78" t="s">
        <v>163</v>
      </c>
      <c r="L28" s="38">
        <f>VLOOKUP(K28,Reinigungstage!A10:J31,10,FALSE)</f>
        <v>4</v>
      </c>
      <c r="M28" s="38">
        <f t="shared" si="9"/>
        <v>313.72000000000003</v>
      </c>
      <c r="N28" s="92">
        <f t="shared" si="10"/>
        <v>0</v>
      </c>
      <c r="O28" s="38">
        <f ca="1">IF('SVS UnterhaltsRG'!H61="",0,'SVS UnterhaltsRG'!H61)</f>
        <v>0</v>
      </c>
      <c r="P28" s="38">
        <f t="shared" si="11"/>
        <v>0</v>
      </c>
      <c r="Q28" s="38">
        <f t="shared" ca="1" si="12"/>
        <v>0</v>
      </c>
      <c r="R28" s="38">
        <f t="shared" si="13"/>
        <v>0</v>
      </c>
      <c r="S28" s="38">
        <f t="shared" ca="1" si="14"/>
        <v>0</v>
      </c>
      <c r="T28" s="16" t="str">
        <f t="shared" si="15"/>
        <v>Leistungswert eintragen</v>
      </c>
      <c r="U28" s="16">
        <f t="shared" si="16"/>
        <v>195</v>
      </c>
      <c r="V28" s="16">
        <f t="shared" si="17"/>
        <v>0</v>
      </c>
    </row>
    <row r="29" spans="1:22" ht="15" customHeight="1" x14ac:dyDescent="0.2">
      <c r="A29" s="78">
        <v>8</v>
      </c>
      <c r="B29" s="88">
        <v>225</v>
      </c>
      <c r="C29" s="89" t="s">
        <v>248</v>
      </c>
      <c r="D29" s="89"/>
      <c r="E29" s="89" t="s">
        <v>257</v>
      </c>
      <c r="F29" s="89" t="s">
        <v>229</v>
      </c>
      <c r="G29" s="90">
        <v>12.78</v>
      </c>
      <c r="H29" s="90"/>
      <c r="I29" s="90"/>
      <c r="J29" s="78" t="s">
        <v>315</v>
      </c>
      <c r="K29" s="78" t="s">
        <v>163</v>
      </c>
      <c r="L29" s="38">
        <f>VLOOKUP(K29,Reinigungstage!A10:J31,10,FALSE)</f>
        <v>4</v>
      </c>
      <c r="M29" s="38">
        <f t="shared" si="9"/>
        <v>51.12</v>
      </c>
      <c r="N29" s="92">
        <f t="shared" si="10"/>
        <v>0</v>
      </c>
      <c r="O29" s="38">
        <f ca="1">IF('SVS UnterhaltsRG'!H61="",0,'SVS UnterhaltsRG'!H61)</f>
        <v>0</v>
      </c>
      <c r="P29" s="38">
        <f t="shared" si="11"/>
        <v>0</v>
      </c>
      <c r="Q29" s="38">
        <f t="shared" ca="1" si="12"/>
        <v>0</v>
      </c>
      <c r="R29" s="38">
        <f t="shared" si="13"/>
        <v>0</v>
      </c>
      <c r="S29" s="38">
        <f t="shared" ca="1" si="14"/>
        <v>0</v>
      </c>
      <c r="T29" s="16" t="str">
        <f t="shared" si="15"/>
        <v>Leistungswert eintragen</v>
      </c>
      <c r="U29" s="16">
        <f t="shared" si="16"/>
        <v>115</v>
      </c>
      <c r="V29" s="16">
        <f t="shared" si="17"/>
        <v>0</v>
      </c>
    </row>
    <row r="30" spans="1:22" ht="15" customHeight="1" x14ac:dyDescent="0.2">
      <c r="A30" s="78">
        <v>9</v>
      </c>
      <c r="B30" s="88">
        <v>103</v>
      </c>
      <c r="C30" s="89" t="s">
        <v>276</v>
      </c>
      <c r="D30" s="89"/>
      <c r="E30" s="89" t="s">
        <v>278</v>
      </c>
      <c r="F30" s="89" t="s">
        <v>227</v>
      </c>
      <c r="G30" s="90">
        <v>7.48</v>
      </c>
      <c r="H30" s="90"/>
      <c r="I30" s="90"/>
      <c r="J30" s="78" t="s">
        <v>315</v>
      </c>
      <c r="K30" s="78" t="s">
        <v>163</v>
      </c>
      <c r="L30" s="38">
        <f>VLOOKUP(K30,Reinigungstage!A10:J31,10,FALSE)</f>
        <v>4</v>
      </c>
      <c r="M30" s="38">
        <f t="shared" ref="M30" si="18">ROUND(IF(L30=0,0,L30*G30),2)</f>
        <v>29.92</v>
      </c>
      <c r="N30" s="92">
        <f t="shared" ref="N30" si="19">VLOOKUP(J30,$G$4:$H$14,2,FALSE)</f>
        <v>0</v>
      </c>
      <c r="O30" s="38">
        <f ca="1">IF('SVS UnterhaltsRG'!H61="",0,'SVS UnterhaltsRG'!H61)</f>
        <v>0</v>
      </c>
      <c r="P30" s="38">
        <f t="shared" ref="P30" si="20">ROUND(IF(N30=0,0,M30/N30),2)</f>
        <v>0</v>
      </c>
      <c r="Q30" s="38">
        <f t="shared" ref="Q30" ca="1" si="21">IF(M30=0,0,IF(O30="",0,ROUND(P30*O30,2)))</f>
        <v>0</v>
      </c>
      <c r="R30" s="38">
        <f t="shared" ref="R30" si="22">ROUND(IF(P30=0,0,P30/L30),2)</f>
        <v>0</v>
      </c>
      <c r="S30" s="38">
        <f t="shared" ref="S30" ca="1" si="23">ROUND(IF(Q30=0,0,Q30/L30),2)</f>
        <v>0</v>
      </c>
      <c r="T30" s="16" t="str">
        <f t="shared" ref="T30" si="24">IF(M30=0,"",IF(N30=0,"Leistungswert eintragen",IF(O30=0,"SVS prüfen","")))</f>
        <v>Leistungswert eintragen</v>
      </c>
      <c r="U30" s="16">
        <f t="shared" ref="U30" si="25">VLOOKUP(J30,$U$4:$V$14,2,FALSE)</f>
        <v>115</v>
      </c>
      <c r="V30" s="16">
        <f t="shared" ref="V30" si="26">IF(M30=0,0,IF(U30&lt;N30,1,IF(U30&gt;=N30,0,"")))</f>
        <v>0</v>
      </c>
    </row>
  </sheetData>
  <sheetProtection algorithmName="SHA-512" hashValue="sL1MaK40h4mqP5d0giiVG2NYny1xC7qBpEXE3C98cDPqr9cx+97xEWYvUbog0iCHKuHOwm0GzJrKqwNMymgRQg==" saltValue="rEvF5xX3tXYK0sTvIo/neQ==" spinCount="100000" sheet="1" objects="1" scenarios="1"/>
  <sortState xmlns:xlrd2="http://schemas.microsoft.com/office/spreadsheetml/2017/richdata2" ref="U4:U14">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79"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78" priority="5" operator="containsText" text="Bitte prüfen Sie diese.">
      <formula>NOT(ISERROR(SEARCH("Bitte prüfen Sie diese.",L9)))</formula>
    </cfRule>
  </conditionalFormatting>
  <conditionalFormatting sqref="L10">
    <cfRule type="containsText" dxfId="77"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76" priority="3" operator="containsText" text="lediglich Fehleingaben vermeiden wollen.">
      <formula>NOT(ISERROR(SEARCH("lediglich Fehleingaben vermeiden wollen.",L11)))</formula>
    </cfRule>
  </conditionalFormatting>
  <conditionalFormatting sqref="M11">
    <cfRule type="containsText" dxfId="75" priority="8" operator="containsText" text="Bitte die Leistungswerte im Leistungsverzeichnis/ Tabellenblatt Leistungsrichtwerte">
      <formula>NOT(ISERROR(SEARCH("Bitte die Leistungswerte im Leistungsverzeichnis/ Tabellenblatt Leistungsrichtwerte",M11)))</formula>
    </cfRule>
  </conditionalFormatting>
  <conditionalFormatting sqref="M12">
    <cfRule type="containsText" dxfId="74" priority="7" operator="containsText" text="für die Objektart prüfen.">
      <formula>NOT(ISERROR(SEARCH("für die Objektart prüfen.",M12)))</formula>
    </cfRule>
  </conditionalFormatting>
  <conditionalFormatting sqref="N13">
    <cfRule type="expression" dxfId="73" priority="2" stopIfTrue="1">
      <formula>N13=0</formula>
    </cfRule>
  </conditionalFormatting>
  <conditionalFormatting sqref="N14">
    <cfRule type="expression" dxfId="72" priority="1">
      <formula>N14=0</formula>
    </cfRule>
  </conditionalFormatting>
  <conditionalFormatting sqref="N22:N30">
    <cfRule type="expression" dxfId="71" priority="11">
      <formula>V22=0</formula>
    </cfRule>
    <cfRule type="expression" dxfId="70" priority="12" stopIfTrue="1">
      <formula>V22=1</formula>
    </cfRule>
  </conditionalFormatting>
  <conditionalFormatting sqref="O13">
    <cfRule type="containsText" dxfId="69" priority="10"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68" priority="9" operator="containsText" text="Wert(e) prüfen.">
      <formula>NOT(ISERROR(SEARCH("Wert(e) prüfen.",O14)))</formula>
    </cfRule>
  </conditionalFormatting>
  <conditionalFormatting sqref="T22:T30">
    <cfRule type="containsText" dxfId="67" priority="13" stopIfTrue="1" operator="containsText" text="SVS prüfen">
      <formula>NOT(ISERROR(SEARCH("SVS prüfen",T22)))</formula>
    </cfRule>
    <cfRule type="containsText" dxfId="66" priority="14" stopIfTrue="1" operator="containsText" text="Leistungswert eintragen">
      <formula>NOT(ISERROR(SEARCH("Leistungswert eintragen",T22)))</formula>
    </cfRule>
  </conditionalFormatting>
  <hyperlinks>
    <hyperlink ref="M1" location="Inhaltsverzeichnis!A1" display="Zurück zum Inhaltsverzeichnis" xr:uid="{358ABFAF-666B-47E7-BCC3-DA5E7F7E0818}"/>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Unter Bed GS Zeesen</oddFooter>
  </headerFooter>
  <rowBreaks count="1" manualBreakCount="1">
    <brk id="30" max="16383" man="1"/>
  </rowBreaks>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112642"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112643"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112644"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7CAC-7BAB-4F3B-AF14-F0C97CC83BDB}">
  <sheetPr>
    <tabColor indexed="40"/>
  </sheetPr>
  <dimension ref="A1:V120"/>
  <sheetViews>
    <sheetView showGridLines="0" zoomScaleNormal="100" workbookViewId="0">
      <pane ySplit="21" topLeftCell="A22" activePane="bottomLeft" state="frozen"/>
      <selection pane="bottomLeft" activeCell="A22" sqref="A22"/>
    </sheetView>
  </sheetViews>
  <sheetFormatPr baseColWidth="10" defaultColWidth="0" defaultRowHeight="15" customHeight="1" x14ac:dyDescent="0.2"/>
  <cols>
    <col min="1" max="1" width="11.7109375" style="16" customWidth="1"/>
    <col min="2" max="2" width="7.7109375" style="16" customWidth="1"/>
    <col min="3" max="3" width="5.7109375" style="16" customWidth="1"/>
    <col min="4" max="4" width="16.42578125" style="16" customWidth="1"/>
    <col min="5" max="5" width="20.7109375" style="16" customWidth="1"/>
    <col min="6" max="6" width="12.7109375" style="16"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2.140625" style="16" customWidth="1"/>
    <col min="14" max="14" width="9.42578125" style="16" customWidth="1"/>
    <col min="15" max="15" width="8.42578125" style="16" customWidth="1"/>
    <col min="16" max="17" width="11.42578125" style="16" customWidth="1"/>
    <col min="18" max="19" width="11.28515625" style="16" customWidth="1"/>
    <col min="20" max="20" width="22.28515625" style="16" customWidth="1"/>
    <col min="21" max="21" width="0" style="16" hidden="1" customWidth="1"/>
    <col min="22" max="16384" width="11.42578125" style="16" hidden="1"/>
  </cols>
  <sheetData>
    <row r="1" spans="1:22" ht="15" customHeight="1" x14ac:dyDescent="0.2">
      <c r="M1" s="1" t="s">
        <v>100</v>
      </c>
    </row>
    <row r="2" spans="1:22" ht="21" customHeight="1" x14ac:dyDescent="0.2">
      <c r="A2" s="167" t="s">
        <v>172</v>
      </c>
      <c r="B2" s="168"/>
      <c r="C2" s="168"/>
      <c r="D2" s="168" t="b">
        <v>0</v>
      </c>
      <c r="E2" s="169"/>
      <c r="G2" s="170" t="s">
        <v>185</v>
      </c>
      <c r="H2" s="170" t="s">
        <v>177</v>
      </c>
      <c r="I2" s="170" t="s">
        <v>178</v>
      </c>
      <c r="J2" s="170" t="s">
        <v>197</v>
      </c>
      <c r="M2" s="8"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2" ht="21" customHeight="1" x14ac:dyDescent="0.2">
      <c r="A3" s="75" t="s">
        <v>173</v>
      </c>
      <c r="B3" s="76"/>
      <c r="C3" s="76"/>
      <c r="D3" s="76"/>
      <c r="E3" s="77"/>
      <c r="G3" s="171"/>
      <c r="H3" s="171" t="b">
        <v>0</v>
      </c>
      <c r="I3" s="171"/>
      <c r="J3" s="171"/>
      <c r="M3" s="8" t="b">
        <v>0</v>
      </c>
      <c r="N3" s="129"/>
      <c r="O3" s="129"/>
      <c r="P3" s="129"/>
      <c r="Q3" s="129"/>
    </row>
    <row r="4" spans="1:22" ht="15" customHeight="1" x14ac:dyDescent="0.2">
      <c r="A4" s="165" t="s">
        <v>91</v>
      </c>
      <c r="B4" s="153" t="str">
        <f>IF(Inhaltsverzeichnis!C3="","",Inhaltsverzeichnis!C3)</f>
        <v/>
      </c>
      <c r="C4" s="154"/>
      <c r="D4" s="154"/>
      <c r="E4" s="155"/>
      <c r="G4" s="78" t="s">
        <v>314</v>
      </c>
      <c r="H4" s="91"/>
      <c r="I4" s="79">
        <f ca="1">SUMIF('Kal Unter Hort mit TH'!J22:M120,$G$4,'Kal Unter Hort mit TH'!M22:M120)</f>
        <v>2001.71</v>
      </c>
      <c r="J4" s="23">
        <f>COUNTIFS('Kal Unter Hort mit TH'!J22:M120,$G$4)</f>
        <v>4</v>
      </c>
      <c r="M4" s="8" t="b">
        <v>0</v>
      </c>
      <c r="N4" s="129"/>
      <c r="O4" s="129"/>
      <c r="P4" s="129"/>
      <c r="Q4" s="129"/>
      <c r="U4" s="78" t="s">
        <v>314</v>
      </c>
      <c r="V4" s="16">
        <v>195</v>
      </c>
    </row>
    <row r="5" spans="1:22" ht="15" customHeight="1" x14ac:dyDescent="0.2">
      <c r="A5" s="166"/>
      <c r="B5" s="156"/>
      <c r="C5" s="157"/>
      <c r="D5" s="157"/>
      <c r="E5" s="158"/>
      <c r="G5" s="78" t="s">
        <v>309</v>
      </c>
      <c r="H5" s="91"/>
      <c r="I5" s="79">
        <f ca="1">SUMIF('Kal Unter Hort mit TH'!J22:M120,$G$5,'Kal Unter Hort mit TH'!M22:M120)</f>
        <v>2818.77</v>
      </c>
      <c r="J5" s="23">
        <f>COUNTIFS('Kal Unter Hort mit TH'!J22:M120,$G$5)</f>
        <v>4</v>
      </c>
      <c r="M5" s="8" t="b">
        <v>0</v>
      </c>
      <c r="N5" s="129"/>
      <c r="O5" s="129"/>
      <c r="P5" s="129"/>
      <c r="Q5" s="129"/>
      <c r="U5" s="78" t="s">
        <v>309</v>
      </c>
      <c r="V5" s="16">
        <v>215</v>
      </c>
    </row>
    <row r="6" spans="1:22" ht="15" customHeight="1" x14ac:dyDescent="0.2">
      <c r="A6" s="80" t="s">
        <v>195</v>
      </c>
      <c r="B6" s="159" t="s">
        <v>215</v>
      </c>
      <c r="C6" s="160"/>
      <c r="D6" s="160"/>
      <c r="E6" s="161"/>
      <c r="G6" s="78" t="s">
        <v>311</v>
      </c>
      <c r="H6" s="91"/>
      <c r="I6" s="79">
        <f ca="1">SUMIF('Kal Unter Hort mit TH'!J22:M120,$G$6,'Kal Unter Hort mit TH'!M22:M120)</f>
        <v>124569.76000000001</v>
      </c>
      <c r="J6" s="23">
        <f>COUNTIFS('Kal Unter Hort mit TH'!J22:M120,$G$6)</f>
        <v>16</v>
      </c>
      <c r="U6" s="78" t="s">
        <v>311</v>
      </c>
      <c r="V6" s="16">
        <v>170</v>
      </c>
    </row>
    <row r="7" spans="1:22" ht="15" customHeight="1" x14ac:dyDescent="0.2">
      <c r="A7" s="81" t="s">
        <v>193</v>
      </c>
      <c r="B7" s="162" t="s">
        <v>221</v>
      </c>
      <c r="C7" s="160"/>
      <c r="D7" s="160"/>
      <c r="E7" s="161"/>
      <c r="G7" s="78" t="s">
        <v>312</v>
      </c>
      <c r="H7" s="91"/>
      <c r="I7" s="79">
        <f ca="1">SUMIF('Kal Unter Hort mit TH'!J22:M120,$G$7,'Kal Unter Hort mit TH'!M22:M120)</f>
        <v>26567.219999999998</v>
      </c>
      <c r="J7" s="23">
        <f>COUNTIFS('Kal Unter Hort mit TH'!J22:M120,$G$7)</f>
        <v>19</v>
      </c>
      <c r="U7" s="78" t="s">
        <v>312</v>
      </c>
      <c r="V7" s="16">
        <v>75</v>
      </c>
    </row>
    <row r="8" spans="1:22" ht="15" customHeight="1" x14ac:dyDescent="0.2">
      <c r="A8" s="81" t="s">
        <v>194</v>
      </c>
      <c r="B8" s="159" t="s">
        <v>222</v>
      </c>
      <c r="C8" s="160"/>
      <c r="D8" s="160"/>
      <c r="E8" s="161"/>
      <c r="G8" s="78" t="s">
        <v>317</v>
      </c>
      <c r="H8" s="91"/>
      <c r="I8" s="79">
        <f ca="1">SUMIF('Kal Unter Hort mit TH'!J22:M120,$G$8,'Kal Unter Hort mit TH'!M22:M120)</f>
        <v>79762.2</v>
      </c>
      <c r="J8" s="23">
        <f>COUNTIFS('Kal Unter Hort mit TH'!J22:M120,$G$8)</f>
        <v>1</v>
      </c>
      <c r="U8" s="78" t="s">
        <v>317</v>
      </c>
      <c r="V8" s="16">
        <v>450</v>
      </c>
    </row>
    <row r="9" spans="1:22" ht="15" customHeight="1" x14ac:dyDescent="0.2">
      <c r="A9" s="80" t="s">
        <v>192</v>
      </c>
      <c r="B9" s="163" t="s">
        <v>220</v>
      </c>
      <c r="C9" s="160"/>
      <c r="D9" s="160"/>
      <c r="E9" s="161"/>
      <c r="G9" s="78" t="s">
        <v>310</v>
      </c>
      <c r="H9" s="91"/>
      <c r="I9" s="79">
        <f ca="1">SUMIF('Kal Unter Hort mit TH'!J22:M120,$G$9,'Kal Unter Hort mit TH'!M22:M120)</f>
        <v>1068.18</v>
      </c>
      <c r="J9" s="23">
        <f>COUNTIFS('Kal Unter Hort mit TH'!J22:M120,$G$9)</f>
        <v>16</v>
      </c>
      <c r="U9" s="78" t="s">
        <v>310</v>
      </c>
      <c r="V9" s="16">
        <v>300</v>
      </c>
    </row>
    <row r="10" spans="1:22" ht="15" customHeight="1" x14ac:dyDescent="0.2">
      <c r="A10" s="81" t="s">
        <v>174</v>
      </c>
      <c r="B10" s="159" t="s">
        <v>217</v>
      </c>
      <c r="C10" s="160"/>
      <c r="D10" s="160"/>
      <c r="E10" s="161"/>
      <c r="G10" s="78" t="s">
        <v>307</v>
      </c>
      <c r="H10" s="91"/>
      <c r="I10" s="79">
        <f ca="1">SUMIF('Kal Unter Hort mit TH'!J22:M120,$G$10,'Kal Unter Hort mit TH'!M22:M120)</f>
        <v>20448.72</v>
      </c>
      <c r="J10" s="23">
        <f>COUNTIFS('Kal Unter Hort mit TH'!J22:M120,$G$10)</f>
        <v>10</v>
      </c>
      <c r="U10" s="78" t="s">
        <v>307</v>
      </c>
      <c r="V10" s="16">
        <v>165</v>
      </c>
    </row>
    <row r="11" spans="1:22" ht="15" customHeight="1" x14ac:dyDescent="0.2">
      <c r="A11" s="81" t="s">
        <v>175</v>
      </c>
      <c r="B11" s="164" t="s">
        <v>218</v>
      </c>
      <c r="C11" s="160"/>
      <c r="D11" s="160"/>
      <c r="E11" s="161"/>
      <c r="G11" s="78" t="s">
        <v>316</v>
      </c>
      <c r="H11" s="91"/>
      <c r="I11" s="79">
        <f ca="1">SUMIF('Kal Unter Hort mit TH'!J22:M120,$G$11,'Kal Unter Hort mit TH'!M22:M120)</f>
        <v>12236.310000000001</v>
      </c>
      <c r="J11" s="23">
        <f>COUNTIFS('Kal Unter Hort mit TH'!J22:M120,$G$11)</f>
        <v>5</v>
      </c>
      <c r="M11" s="16" t="str">
        <f>IF(N13&gt;0,"Bitte die Leistungswerte im Leistungsverzeichnis/ Tabellenblatt Leistungsrichtwerte","")</f>
        <v/>
      </c>
      <c r="U11" s="78" t="s">
        <v>316</v>
      </c>
      <c r="V11" s="16">
        <v>220</v>
      </c>
    </row>
    <row r="12" spans="1:22" ht="15" customHeight="1" x14ac:dyDescent="0.2">
      <c r="A12" s="81" t="s">
        <v>176</v>
      </c>
      <c r="B12" s="159" t="s">
        <v>219</v>
      </c>
      <c r="C12" s="160"/>
      <c r="D12" s="160"/>
      <c r="E12" s="161"/>
      <c r="G12" s="78" t="s">
        <v>313</v>
      </c>
      <c r="H12" s="91"/>
      <c r="I12" s="79">
        <f ca="1">SUMIF('Kal Unter Hort mit TH'!J22:M120,$G$12,'Kal Unter Hort mit TH'!M22:M120)</f>
        <v>103358.64</v>
      </c>
      <c r="J12" s="23">
        <f>COUNTIFS('Kal Unter Hort mit TH'!J22:M120,$G$12)</f>
        <v>23</v>
      </c>
      <c r="M12" s="16" t="str">
        <f>IF(N13&gt;0,"für die Objektart prüfen.","")</f>
        <v/>
      </c>
      <c r="U12" s="78" t="s">
        <v>313</v>
      </c>
      <c r="V12" s="16">
        <v>450</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78" t="s">
        <v>315</v>
      </c>
      <c r="H13" s="91"/>
      <c r="I13" s="79">
        <f ca="1">SUMIF('Kal Unter Hort mit TH'!J22:M120,$G$13,'Kal Unter Hort mit TH'!M22:M120)</f>
        <v>2250.08</v>
      </c>
      <c r="J13" s="23">
        <f>COUNTIFS('Kal Unter Hort mit TH'!J22:M120,$G$13)</f>
        <v>1</v>
      </c>
      <c r="N13" s="82">
        <f>COUNTIF(V22:V$120,1)</f>
        <v>0</v>
      </c>
      <c r="O13" s="16" t="str">
        <f>IF(N13&gt;0,"Wert(e) überschritten, bitte mit dem Angebot plausibel darlegen.","")</f>
        <v/>
      </c>
      <c r="U13" s="78" t="s">
        <v>315</v>
      </c>
      <c r="V13" s="16">
        <v>115</v>
      </c>
    </row>
    <row r="14" spans="1:22" ht="15" customHeight="1" x14ac:dyDescent="0.2">
      <c r="N14" s="83">
        <f>COUNTIF(V22:V$120,0)</f>
        <v>99</v>
      </c>
      <c r="O14" s="16" t="str">
        <f>IF(N14&gt;0,"Wert(e) korrekt","")</f>
        <v>Wert(e) korrekt</v>
      </c>
      <c r="T14" s="84">
        <f>IF(COUNTA($T$22:$T$120)-COUNTBLANK($T$22:$T$120)=0,"",COUNTA($T$22:$T$120)-COUNTBLANK($T$22:$T$120))</f>
        <v>86</v>
      </c>
    </row>
    <row r="15" spans="1:22" ht="15" hidden="1" customHeight="1" x14ac:dyDescent="0.2"/>
    <row r="16" spans="1:22" ht="15" hidden="1" customHeight="1" x14ac:dyDescent="0.2"/>
    <row r="17" spans="1:22" ht="15" hidden="1" customHeight="1" x14ac:dyDescent="0.2"/>
    <row r="18" spans="1:22" ht="15" hidden="1" customHeight="1" x14ac:dyDescent="0.2"/>
    <row r="19" spans="1:22" ht="15" hidden="1" customHeight="1" x14ac:dyDescent="0.2"/>
    <row r="20" spans="1:22" ht="45" customHeight="1" x14ac:dyDescent="0.2">
      <c r="A20" s="33" t="s">
        <v>92</v>
      </c>
      <c r="B20" s="33" t="s">
        <v>97</v>
      </c>
      <c r="C20" s="33" t="s">
        <v>93</v>
      </c>
      <c r="D20" s="33" t="s">
        <v>94</v>
      </c>
      <c r="E20" s="33" t="s">
        <v>98</v>
      </c>
      <c r="F20" s="33" t="s">
        <v>95</v>
      </c>
      <c r="G20" s="33" t="s">
        <v>117</v>
      </c>
      <c r="H20" s="33" t="s">
        <v>107</v>
      </c>
      <c r="I20" s="33" t="s">
        <v>108</v>
      </c>
      <c r="J20" s="33" t="s">
        <v>99</v>
      </c>
      <c r="K20" s="33" t="s">
        <v>105</v>
      </c>
      <c r="L20" s="33" t="s">
        <v>136</v>
      </c>
      <c r="M20" s="33" t="s">
        <v>110</v>
      </c>
      <c r="N20" s="33" t="s">
        <v>106</v>
      </c>
      <c r="O20" s="33" t="s">
        <v>111</v>
      </c>
      <c r="P20" s="33" t="s">
        <v>112</v>
      </c>
      <c r="Q20" s="33" t="s">
        <v>113</v>
      </c>
      <c r="R20" s="33" t="s">
        <v>196</v>
      </c>
      <c r="S20" s="33" t="s">
        <v>135</v>
      </c>
    </row>
    <row r="21" spans="1:22" ht="29.1" customHeight="1" x14ac:dyDescent="0.2">
      <c r="A21" s="85" t="s">
        <v>120</v>
      </c>
      <c r="B21" s="60"/>
      <c r="C21" s="60"/>
      <c r="D21" s="60"/>
      <c r="E21" s="60"/>
      <c r="F21" s="60"/>
      <c r="G21" s="86">
        <f>SUM($G$22:$G$120)</f>
        <v>2220.61</v>
      </c>
      <c r="H21" s="86">
        <f>SUM($H$22:$H$120)</f>
        <v>0</v>
      </c>
      <c r="I21" s="86">
        <f>SUM($I$22:$I$120)</f>
        <v>0</v>
      </c>
      <c r="J21" s="38"/>
      <c r="K21" s="38"/>
      <c r="L21" s="87">
        <f>MAX(L22:L120)</f>
        <v>196</v>
      </c>
      <c r="M21" s="86">
        <f>SUM($M$22:$M$120)</f>
        <v>375081.59</v>
      </c>
      <c r="N21" s="38"/>
      <c r="O21" s="38"/>
      <c r="P21" s="86">
        <f>SUM($P$22:$P$120)</f>
        <v>0</v>
      </c>
      <c r="Q21" s="86">
        <f ca="1">SUM($Q$22:$Q$120)</f>
        <v>0</v>
      </c>
      <c r="R21" s="86">
        <f>ROUND(IF(L21=0,0,P21/L21),2)</f>
        <v>0</v>
      </c>
      <c r="S21" s="86">
        <f ca="1">ROUND(IF(L21=0,0,Q21/L21),2)</f>
        <v>0</v>
      </c>
    </row>
    <row r="22" spans="1:22" ht="15" customHeight="1" x14ac:dyDescent="0.2">
      <c r="A22" s="78">
        <v>1</v>
      </c>
      <c r="B22" s="95">
        <v>1</v>
      </c>
      <c r="C22" s="89" t="s">
        <v>318</v>
      </c>
      <c r="D22" s="89" t="s">
        <v>319</v>
      </c>
      <c r="E22" s="89" t="s">
        <v>320</v>
      </c>
      <c r="F22" s="89" t="s">
        <v>227</v>
      </c>
      <c r="G22" s="90">
        <v>17.940000000000001</v>
      </c>
      <c r="H22" s="90"/>
      <c r="I22" s="90"/>
      <c r="J22" s="78" t="s">
        <v>307</v>
      </c>
      <c r="K22" s="90">
        <v>5</v>
      </c>
      <c r="L22" s="38">
        <f>VLOOKUP(K22,Reinigungstage!A10:C31,3,FALSE)</f>
        <v>196</v>
      </c>
      <c r="M22" s="38">
        <f t="shared" ref="M22:M53" si="0">ROUND(IF(L22=0,0,L22*G22),2)</f>
        <v>3516.24</v>
      </c>
      <c r="N22" s="92">
        <f t="shared" ref="N22:N53" si="1">VLOOKUP(J22,$G$4:$H$13,2,FALSE)</f>
        <v>0</v>
      </c>
      <c r="O22" s="38">
        <f ca="1">IF('SVS UnterhaltsRG'!H61="",0,'SVS UnterhaltsRG'!H61)</f>
        <v>0</v>
      </c>
      <c r="P22" s="38">
        <f t="shared" ref="P22:P53" si="2">ROUND(IF(N22=0,0,M22/N22),2)</f>
        <v>0</v>
      </c>
      <c r="Q22" s="38">
        <f t="shared" ref="Q22:Q53" ca="1" si="3">IF(M22=0,0,IF(O22="",0,ROUND(P22*O22,2)))</f>
        <v>0</v>
      </c>
      <c r="R22" s="38">
        <f t="shared" ref="R22:R53" si="4">ROUND(IF(P22=0,0,P22/L22),2)</f>
        <v>0</v>
      </c>
      <c r="S22" s="38">
        <f t="shared" ref="S22:S53" ca="1" si="5">ROUND(IF(Q22=0,0,Q22/L22),2)</f>
        <v>0</v>
      </c>
      <c r="T22" s="16" t="str">
        <f t="shared" ref="T22:T53" si="6">IF(M22=0,"",IF(N22=0,"Leistungswert eintragen",IF(O22=0,"SVS prüfen","")))</f>
        <v>Leistungswert eintragen</v>
      </c>
      <c r="U22" s="16">
        <f t="shared" ref="U22:U53" si="7">VLOOKUP(J22,$U$4:$V$13,2,FALSE)</f>
        <v>165</v>
      </c>
      <c r="V22" s="16">
        <f t="shared" ref="V22:V53" si="8">IF(M22=0,0,IF(U22&lt;N22,1,IF(U22&gt;=N22,0,"")))</f>
        <v>0</v>
      </c>
    </row>
    <row r="23" spans="1:22" ht="15" customHeight="1" x14ac:dyDescent="0.2">
      <c r="A23" s="78">
        <v>2</v>
      </c>
      <c r="B23" s="95">
        <v>2</v>
      </c>
      <c r="C23" s="89" t="s">
        <v>318</v>
      </c>
      <c r="D23" s="89" t="s">
        <v>319</v>
      </c>
      <c r="E23" s="89" t="s">
        <v>321</v>
      </c>
      <c r="F23" s="89" t="s">
        <v>227</v>
      </c>
      <c r="G23" s="90">
        <v>24.11</v>
      </c>
      <c r="H23" s="90"/>
      <c r="I23" s="90"/>
      <c r="J23" s="78" t="s">
        <v>313</v>
      </c>
      <c r="K23" s="90">
        <v>5</v>
      </c>
      <c r="L23" s="38">
        <f>VLOOKUP(K23,Reinigungstage!A10:C31,3,FALSE)</f>
        <v>196</v>
      </c>
      <c r="M23" s="38">
        <f t="shared" si="0"/>
        <v>4725.5600000000004</v>
      </c>
      <c r="N23" s="92">
        <f t="shared" si="1"/>
        <v>0</v>
      </c>
      <c r="O23" s="38">
        <f ca="1">IF('SVS UnterhaltsRG'!H61="",0,'SVS UnterhaltsRG'!H61)</f>
        <v>0</v>
      </c>
      <c r="P23" s="38">
        <f t="shared" si="2"/>
        <v>0</v>
      </c>
      <c r="Q23" s="38">
        <f t="shared" ca="1" si="3"/>
        <v>0</v>
      </c>
      <c r="R23" s="38">
        <f t="shared" si="4"/>
        <v>0</v>
      </c>
      <c r="S23" s="38">
        <f t="shared" ca="1" si="5"/>
        <v>0</v>
      </c>
      <c r="T23" s="16" t="str">
        <f t="shared" si="6"/>
        <v>Leistungswert eintragen</v>
      </c>
      <c r="U23" s="16">
        <f t="shared" si="7"/>
        <v>450</v>
      </c>
      <c r="V23" s="16">
        <f t="shared" si="8"/>
        <v>0</v>
      </c>
    </row>
    <row r="24" spans="1:22" ht="15" customHeight="1" x14ac:dyDescent="0.2">
      <c r="A24" s="78">
        <v>3</v>
      </c>
      <c r="B24" s="95">
        <v>3</v>
      </c>
      <c r="C24" s="89" t="s">
        <v>318</v>
      </c>
      <c r="D24" s="89" t="s">
        <v>319</v>
      </c>
      <c r="E24" s="89" t="s">
        <v>322</v>
      </c>
      <c r="F24" s="89" t="s">
        <v>227</v>
      </c>
      <c r="G24" s="90">
        <v>4.71</v>
      </c>
      <c r="H24" s="90"/>
      <c r="I24" s="90"/>
      <c r="J24" s="78" t="s">
        <v>312</v>
      </c>
      <c r="K24" s="90">
        <v>2</v>
      </c>
      <c r="L24" s="38">
        <f>VLOOKUP(K24,Reinigungstage!A10:C31,3,FALSE)</f>
        <v>81.44</v>
      </c>
      <c r="M24" s="38">
        <f t="shared" si="0"/>
        <v>383.58</v>
      </c>
      <c r="N24" s="92">
        <f t="shared" si="1"/>
        <v>0</v>
      </c>
      <c r="O24" s="38">
        <f ca="1">IF('SVS UnterhaltsRG'!H61="",0,'SVS UnterhaltsRG'!H61)</f>
        <v>0</v>
      </c>
      <c r="P24" s="38">
        <f t="shared" si="2"/>
        <v>0</v>
      </c>
      <c r="Q24" s="38">
        <f t="shared" ca="1" si="3"/>
        <v>0</v>
      </c>
      <c r="R24" s="38">
        <f t="shared" si="4"/>
        <v>0</v>
      </c>
      <c r="S24" s="38">
        <f t="shared" ca="1" si="5"/>
        <v>0</v>
      </c>
      <c r="T24" s="16" t="str">
        <f t="shared" si="6"/>
        <v>Leistungswert eintragen</v>
      </c>
      <c r="U24" s="16">
        <f t="shared" si="7"/>
        <v>75</v>
      </c>
      <c r="V24" s="16">
        <f t="shared" si="8"/>
        <v>0</v>
      </c>
    </row>
    <row r="25" spans="1:22" ht="15" customHeight="1" x14ac:dyDescent="0.2">
      <c r="A25" s="78">
        <v>4</v>
      </c>
      <c r="B25" s="95">
        <v>4</v>
      </c>
      <c r="C25" s="89" t="s">
        <v>318</v>
      </c>
      <c r="D25" s="89" t="s">
        <v>319</v>
      </c>
      <c r="E25" s="89" t="s">
        <v>323</v>
      </c>
      <c r="F25" s="89" t="s">
        <v>227</v>
      </c>
      <c r="G25" s="90">
        <v>13.09</v>
      </c>
      <c r="H25" s="90"/>
      <c r="I25" s="90"/>
      <c r="J25" s="78" t="s">
        <v>316</v>
      </c>
      <c r="K25" s="90">
        <v>2</v>
      </c>
      <c r="L25" s="38">
        <f>VLOOKUP(K25,Reinigungstage!A10:C31,3,FALSE)</f>
        <v>81.44</v>
      </c>
      <c r="M25" s="38">
        <f t="shared" si="0"/>
        <v>1066.05</v>
      </c>
      <c r="N25" s="92">
        <f t="shared" si="1"/>
        <v>0</v>
      </c>
      <c r="O25" s="38">
        <f ca="1">IF('SVS UnterhaltsRG'!H61="",0,'SVS UnterhaltsRG'!H61)</f>
        <v>0</v>
      </c>
      <c r="P25" s="38">
        <f t="shared" si="2"/>
        <v>0</v>
      </c>
      <c r="Q25" s="38">
        <f t="shared" ca="1" si="3"/>
        <v>0</v>
      </c>
      <c r="R25" s="38">
        <f t="shared" si="4"/>
        <v>0</v>
      </c>
      <c r="S25" s="38">
        <f t="shared" ca="1" si="5"/>
        <v>0</v>
      </c>
      <c r="T25" s="16" t="str">
        <f t="shared" si="6"/>
        <v>Leistungswert eintragen</v>
      </c>
      <c r="U25" s="16">
        <f t="shared" si="7"/>
        <v>220</v>
      </c>
      <c r="V25" s="16">
        <f t="shared" si="8"/>
        <v>0</v>
      </c>
    </row>
    <row r="26" spans="1:22" ht="35.1" customHeight="1" x14ac:dyDescent="0.2">
      <c r="A26" s="78">
        <v>5</v>
      </c>
      <c r="B26" s="95">
        <v>5</v>
      </c>
      <c r="C26" s="89" t="s">
        <v>318</v>
      </c>
      <c r="D26" s="177" t="s">
        <v>423</v>
      </c>
      <c r="E26" s="89" t="s">
        <v>324</v>
      </c>
      <c r="F26" s="89" t="s">
        <v>227</v>
      </c>
      <c r="G26" s="90">
        <v>21.86</v>
      </c>
      <c r="H26" s="90"/>
      <c r="I26" s="90"/>
      <c r="J26" s="78" t="s">
        <v>316</v>
      </c>
      <c r="K26" s="90">
        <v>5</v>
      </c>
      <c r="L26" s="38">
        <f>VLOOKUP(K26,Reinigungstage!A10:C31,3,FALSE)</f>
        <v>196</v>
      </c>
      <c r="M26" s="38">
        <f t="shared" si="0"/>
        <v>4284.5600000000004</v>
      </c>
      <c r="N26" s="92">
        <f t="shared" si="1"/>
        <v>0</v>
      </c>
      <c r="O26" s="38">
        <f ca="1">IF('SVS UnterhaltsRG'!$M$27="",0,'SVS UnterhaltsRG'!$M$27)</f>
        <v>0</v>
      </c>
      <c r="P26" s="38">
        <f t="shared" si="2"/>
        <v>0</v>
      </c>
      <c r="Q26" s="38">
        <f t="shared" ca="1" si="3"/>
        <v>0</v>
      </c>
      <c r="R26" s="38">
        <f t="shared" si="4"/>
        <v>0</v>
      </c>
      <c r="S26" s="38">
        <f t="shared" ca="1" si="5"/>
        <v>0</v>
      </c>
      <c r="T26" s="16" t="str">
        <f t="shared" si="6"/>
        <v>Leistungswert eintragen</v>
      </c>
      <c r="U26" s="16">
        <f t="shared" si="7"/>
        <v>220</v>
      </c>
      <c r="V26" s="16">
        <f t="shared" si="8"/>
        <v>0</v>
      </c>
    </row>
    <row r="27" spans="1:22" ht="35.1" customHeight="1" x14ac:dyDescent="0.2">
      <c r="A27" s="78">
        <v>6</v>
      </c>
      <c r="B27" s="95">
        <v>6</v>
      </c>
      <c r="C27" s="89" t="s">
        <v>318</v>
      </c>
      <c r="D27" s="177" t="s">
        <v>423</v>
      </c>
      <c r="E27" s="89" t="s">
        <v>325</v>
      </c>
      <c r="F27" s="89" t="s">
        <v>227</v>
      </c>
      <c r="G27" s="90">
        <v>16.329999999999998</v>
      </c>
      <c r="H27" s="90"/>
      <c r="I27" s="90"/>
      <c r="J27" s="78" t="s">
        <v>312</v>
      </c>
      <c r="K27" s="90">
        <v>5</v>
      </c>
      <c r="L27" s="38">
        <f>VLOOKUP(K27,Reinigungstage!A10:C31,3,FALSE)</f>
        <v>196</v>
      </c>
      <c r="M27" s="38">
        <f t="shared" si="0"/>
        <v>3200.68</v>
      </c>
      <c r="N27" s="92">
        <f t="shared" si="1"/>
        <v>0</v>
      </c>
      <c r="O27" s="38">
        <f ca="1">IF('SVS UnterhaltsRG'!$M$27="",0,'SVS UnterhaltsRG'!$M$27)</f>
        <v>0</v>
      </c>
      <c r="P27" s="38">
        <f t="shared" si="2"/>
        <v>0</v>
      </c>
      <c r="Q27" s="38">
        <f t="shared" ca="1" si="3"/>
        <v>0</v>
      </c>
      <c r="R27" s="38">
        <f t="shared" si="4"/>
        <v>0</v>
      </c>
      <c r="S27" s="38">
        <f t="shared" ca="1" si="5"/>
        <v>0</v>
      </c>
      <c r="T27" s="16" t="str">
        <f t="shared" si="6"/>
        <v>Leistungswert eintragen</v>
      </c>
      <c r="U27" s="16">
        <f t="shared" si="7"/>
        <v>75</v>
      </c>
      <c r="V27" s="16">
        <f t="shared" si="8"/>
        <v>0</v>
      </c>
    </row>
    <row r="28" spans="1:22" ht="35.1" customHeight="1" x14ac:dyDescent="0.2">
      <c r="A28" s="78">
        <v>7</v>
      </c>
      <c r="B28" s="95">
        <v>7</v>
      </c>
      <c r="C28" s="89" t="s">
        <v>318</v>
      </c>
      <c r="D28" s="177" t="s">
        <v>423</v>
      </c>
      <c r="E28" s="89" t="s">
        <v>325</v>
      </c>
      <c r="F28" s="89" t="s">
        <v>227</v>
      </c>
      <c r="G28" s="90">
        <v>15.84</v>
      </c>
      <c r="H28" s="90"/>
      <c r="I28" s="90"/>
      <c r="J28" s="78" t="s">
        <v>312</v>
      </c>
      <c r="K28" s="90">
        <v>5</v>
      </c>
      <c r="L28" s="38">
        <f>VLOOKUP(K28,Reinigungstage!A10:C31,3,FALSE)</f>
        <v>196</v>
      </c>
      <c r="M28" s="38">
        <f t="shared" si="0"/>
        <v>3104.64</v>
      </c>
      <c r="N28" s="92">
        <f t="shared" si="1"/>
        <v>0</v>
      </c>
      <c r="O28" s="38">
        <f ca="1">IF('SVS UnterhaltsRG'!$M$27="",0,'SVS UnterhaltsRG'!$M$27)</f>
        <v>0</v>
      </c>
      <c r="P28" s="38">
        <f t="shared" si="2"/>
        <v>0</v>
      </c>
      <c r="Q28" s="38">
        <f t="shared" ca="1" si="3"/>
        <v>0</v>
      </c>
      <c r="R28" s="38">
        <f t="shared" si="4"/>
        <v>0</v>
      </c>
      <c r="S28" s="38">
        <f t="shared" ca="1" si="5"/>
        <v>0</v>
      </c>
      <c r="T28" s="16" t="str">
        <f t="shared" si="6"/>
        <v>Leistungswert eintragen</v>
      </c>
      <c r="U28" s="16">
        <f t="shared" si="7"/>
        <v>75</v>
      </c>
      <c r="V28" s="16">
        <f t="shared" si="8"/>
        <v>0</v>
      </c>
    </row>
    <row r="29" spans="1:22" ht="35.1" customHeight="1" x14ac:dyDescent="0.2">
      <c r="A29" s="78">
        <v>8</v>
      </c>
      <c r="B29" s="95">
        <v>8</v>
      </c>
      <c r="C29" s="89" t="s">
        <v>318</v>
      </c>
      <c r="D29" s="177" t="s">
        <v>423</v>
      </c>
      <c r="E29" s="89" t="s">
        <v>324</v>
      </c>
      <c r="F29" s="89" t="s">
        <v>227</v>
      </c>
      <c r="G29" s="90">
        <v>22.35</v>
      </c>
      <c r="H29" s="90"/>
      <c r="I29" s="90"/>
      <c r="J29" s="78" t="s">
        <v>316</v>
      </c>
      <c r="K29" s="90">
        <v>5</v>
      </c>
      <c r="L29" s="38">
        <f>VLOOKUP(K29,Reinigungstage!A10:C31,3,FALSE)</f>
        <v>196</v>
      </c>
      <c r="M29" s="38">
        <f t="shared" si="0"/>
        <v>4380.6000000000004</v>
      </c>
      <c r="N29" s="92">
        <f t="shared" si="1"/>
        <v>0</v>
      </c>
      <c r="O29" s="38">
        <f ca="1">IF('SVS UnterhaltsRG'!$M$27="",0,'SVS UnterhaltsRG'!$M$27)</f>
        <v>0</v>
      </c>
      <c r="P29" s="38">
        <f t="shared" si="2"/>
        <v>0</v>
      </c>
      <c r="Q29" s="38">
        <f t="shared" ca="1" si="3"/>
        <v>0</v>
      </c>
      <c r="R29" s="38">
        <f t="shared" si="4"/>
        <v>0</v>
      </c>
      <c r="S29" s="38">
        <f t="shared" ca="1" si="5"/>
        <v>0</v>
      </c>
      <c r="T29" s="16" t="str">
        <f t="shared" si="6"/>
        <v>Leistungswert eintragen</v>
      </c>
      <c r="U29" s="16">
        <f t="shared" si="7"/>
        <v>220</v>
      </c>
      <c r="V29" s="16">
        <f t="shared" si="8"/>
        <v>0</v>
      </c>
    </row>
    <row r="30" spans="1:22" ht="15" customHeight="1" x14ac:dyDescent="0.2">
      <c r="A30" s="78">
        <v>9</v>
      </c>
      <c r="B30" s="95">
        <v>9</v>
      </c>
      <c r="C30" s="89" t="s">
        <v>318</v>
      </c>
      <c r="D30" s="89" t="s">
        <v>319</v>
      </c>
      <c r="E30" s="89" t="s">
        <v>326</v>
      </c>
      <c r="F30" s="89" t="s">
        <v>327</v>
      </c>
      <c r="G30" s="90">
        <v>17.36</v>
      </c>
      <c r="H30" s="90"/>
      <c r="I30" s="90"/>
      <c r="J30" s="78" t="s">
        <v>310</v>
      </c>
      <c r="K30" s="90">
        <v>0</v>
      </c>
      <c r="L30" s="38">
        <f>VLOOKUP(K30,Reinigungstage!A10:C31,3,FALSE)</f>
        <v>0</v>
      </c>
      <c r="M30" s="38">
        <f t="shared" si="0"/>
        <v>0</v>
      </c>
      <c r="N30" s="92">
        <f t="shared" si="1"/>
        <v>0</v>
      </c>
      <c r="O30" s="38">
        <f ca="1">IF('SVS UnterhaltsRG'!H61="",0,'SVS UnterhaltsRG'!H61)</f>
        <v>0</v>
      </c>
      <c r="P30" s="38">
        <f t="shared" si="2"/>
        <v>0</v>
      </c>
      <c r="Q30" s="38">
        <f t="shared" si="3"/>
        <v>0</v>
      </c>
      <c r="R30" s="38">
        <f t="shared" si="4"/>
        <v>0</v>
      </c>
      <c r="S30" s="38">
        <f t="shared" si="5"/>
        <v>0</v>
      </c>
      <c r="T30" s="16" t="str">
        <f t="shared" si="6"/>
        <v/>
      </c>
      <c r="U30" s="16">
        <f t="shared" si="7"/>
        <v>300</v>
      </c>
      <c r="V30" s="16">
        <f t="shared" si="8"/>
        <v>0</v>
      </c>
    </row>
    <row r="31" spans="1:22" ht="15" customHeight="1" x14ac:dyDescent="0.2">
      <c r="A31" s="78">
        <v>10</v>
      </c>
      <c r="B31" s="95">
        <v>10</v>
      </c>
      <c r="C31" s="89" t="s">
        <v>318</v>
      </c>
      <c r="D31" s="89" t="s">
        <v>319</v>
      </c>
      <c r="E31" s="89" t="s">
        <v>328</v>
      </c>
      <c r="F31" s="89" t="s">
        <v>327</v>
      </c>
      <c r="G31" s="90">
        <v>12.59</v>
      </c>
      <c r="H31" s="90"/>
      <c r="I31" s="90"/>
      <c r="J31" s="78" t="s">
        <v>310</v>
      </c>
      <c r="K31" s="90">
        <v>0</v>
      </c>
      <c r="L31" s="38">
        <f>VLOOKUP(K31,Reinigungstage!A10:C31,3,FALSE)</f>
        <v>0</v>
      </c>
      <c r="M31" s="38">
        <f t="shared" si="0"/>
        <v>0</v>
      </c>
      <c r="N31" s="92">
        <f t="shared" si="1"/>
        <v>0</v>
      </c>
      <c r="O31" s="38">
        <f ca="1">IF('SVS UnterhaltsRG'!H61="",0,'SVS UnterhaltsRG'!H61)</f>
        <v>0</v>
      </c>
      <c r="P31" s="38">
        <f t="shared" si="2"/>
        <v>0</v>
      </c>
      <c r="Q31" s="38">
        <f t="shared" si="3"/>
        <v>0</v>
      </c>
      <c r="R31" s="38">
        <f t="shared" si="4"/>
        <v>0</v>
      </c>
      <c r="S31" s="38">
        <f t="shared" si="5"/>
        <v>0</v>
      </c>
      <c r="T31" s="16" t="str">
        <f t="shared" si="6"/>
        <v/>
      </c>
      <c r="U31" s="16">
        <f t="shared" si="7"/>
        <v>300</v>
      </c>
      <c r="V31" s="16">
        <f t="shared" si="8"/>
        <v>0</v>
      </c>
    </row>
    <row r="32" spans="1:22" ht="15" customHeight="1" x14ac:dyDescent="0.2">
      <c r="A32" s="78">
        <v>11</v>
      </c>
      <c r="B32" s="78" t="s">
        <v>329</v>
      </c>
      <c r="C32" s="89" t="s">
        <v>318</v>
      </c>
      <c r="D32" s="89" t="s">
        <v>319</v>
      </c>
      <c r="E32" s="89" t="s">
        <v>330</v>
      </c>
      <c r="F32" s="89" t="s">
        <v>327</v>
      </c>
      <c r="G32" s="90">
        <v>6.78</v>
      </c>
      <c r="H32" s="90"/>
      <c r="I32" s="90"/>
      <c r="J32" s="78" t="s">
        <v>310</v>
      </c>
      <c r="K32" s="90">
        <v>0</v>
      </c>
      <c r="L32" s="38">
        <f>VLOOKUP(K32,Reinigungstage!A10:C31,3,FALSE)</f>
        <v>0</v>
      </c>
      <c r="M32" s="38">
        <f t="shared" si="0"/>
        <v>0</v>
      </c>
      <c r="N32" s="92">
        <f t="shared" si="1"/>
        <v>0</v>
      </c>
      <c r="O32" s="38">
        <f ca="1">IF('SVS UnterhaltsRG'!H61="",0,'SVS UnterhaltsRG'!H61)</f>
        <v>0</v>
      </c>
      <c r="P32" s="38">
        <f t="shared" si="2"/>
        <v>0</v>
      </c>
      <c r="Q32" s="38">
        <f t="shared" si="3"/>
        <v>0</v>
      </c>
      <c r="R32" s="38">
        <f t="shared" si="4"/>
        <v>0</v>
      </c>
      <c r="S32" s="38">
        <f t="shared" si="5"/>
        <v>0</v>
      </c>
      <c r="T32" s="16" t="str">
        <f t="shared" si="6"/>
        <v/>
      </c>
      <c r="U32" s="16">
        <f t="shared" si="7"/>
        <v>300</v>
      </c>
      <c r="V32" s="16">
        <f t="shared" si="8"/>
        <v>0</v>
      </c>
    </row>
    <row r="33" spans="1:22" ht="15" customHeight="1" x14ac:dyDescent="0.2">
      <c r="A33" s="78">
        <v>12</v>
      </c>
      <c r="B33" s="95">
        <v>11</v>
      </c>
      <c r="C33" s="89" t="s">
        <v>318</v>
      </c>
      <c r="D33" s="89" t="s">
        <v>319</v>
      </c>
      <c r="E33" s="89" t="s">
        <v>331</v>
      </c>
      <c r="F33" s="89" t="s">
        <v>327</v>
      </c>
      <c r="G33" s="90">
        <v>4.91</v>
      </c>
      <c r="H33" s="90"/>
      <c r="I33" s="90"/>
      <c r="J33" s="78" t="s">
        <v>310</v>
      </c>
      <c r="K33" s="90">
        <v>0</v>
      </c>
      <c r="L33" s="38">
        <f>VLOOKUP(K33,Reinigungstage!A10:C31,3,FALSE)</f>
        <v>0</v>
      </c>
      <c r="M33" s="38">
        <f t="shared" si="0"/>
        <v>0</v>
      </c>
      <c r="N33" s="92">
        <f t="shared" si="1"/>
        <v>0</v>
      </c>
      <c r="O33" s="38">
        <f ca="1">IF('SVS UnterhaltsRG'!H61="",0,'SVS UnterhaltsRG'!H61)</f>
        <v>0</v>
      </c>
      <c r="P33" s="38">
        <f t="shared" si="2"/>
        <v>0</v>
      </c>
      <c r="Q33" s="38">
        <f t="shared" si="3"/>
        <v>0</v>
      </c>
      <c r="R33" s="38">
        <f t="shared" si="4"/>
        <v>0</v>
      </c>
      <c r="S33" s="38">
        <f t="shared" si="5"/>
        <v>0</v>
      </c>
      <c r="T33" s="16" t="str">
        <f t="shared" si="6"/>
        <v/>
      </c>
      <c r="U33" s="16">
        <f t="shared" si="7"/>
        <v>300</v>
      </c>
      <c r="V33" s="16">
        <f t="shared" si="8"/>
        <v>0</v>
      </c>
    </row>
    <row r="34" spans="1:22" ht="15" customHeight="1" x14ac:dyDescent="0.2">
      <c r="A34" s="78">
        <v>13</v>
      </c>
      <c r="B34" s="95">
        <v>12</v>
      </c>
      <c r="C34" s="89" t="s">
        <v>318</v>
      </c>
      <c r="D34" s="89" t="s">
        <v>319</v>
      </c>
      <c r="E34" s="89" t="s">
        <v>320</v>
      </c>
      <c r="F34" s="89" t="s">
        <v>227</v>
      </c>
      <c r="G34" s="90">
        <v>14.21</v>
      </c>
      <c r="H34" s="90"/>
      <c r="I34" s="90"/>
      <c r="J34" s="78" t="s">
        <v>307</v>
      </c>
      <c r="K34" s="90">
        <v>5</v>
      </c>
      <c r="L34" s="38">
        <f>VLOOKUP(K34,Reinigungstage!A10:C31,3,FALSE)</f>
        <v>196</v>
      </c>
      <c r="M34" s="38">
        <f t="shared" si="0"/>
        <v>2785.16</v>
      </c>
      <c r="N34" s="92">
        <f t="shared" si="1"/>
        <v>0</v>
      </c>
      <c r="O34" s="38">
        <f ca="1">IF('SVS UnterhaltsRG'!H61="",0,'SVS UnterhaltsRG'!H61)</f>
        <v>0</v>
      </c>
      <c r="P34" s="38">
        <f t="shared" si="2"/>
        <v>0</v>
      </c>
      <c r="Q34" s="38">
        <f t="shared" ca="1" si="3"/>
        <v>0</v>
      </c>
      <c r="R34" s="38">
        <f t="shared" si="4"/>
        <v>0</v>
      </c>
      <c r="S34" s="38">
        <f t="shared" ca="1" si="5"/>
        <v>0</v>
      </c>
      <c r="T34" s="16" t="str">
        <f t="shared" si="6"/>
        <v>Leistungswert eintragen</v>
      </c>
      <c r="U34" s="16">
        <f t="shared" si="7"/>
        <v>165</v>
      </c>
      <c r="V34" s="16">
        <f t="shared" si="8"/>
        <v>0</v>
      </c>
    </row>
    <row r="35" spans="1:22" ht="15" customHeight="1" x14ac:dyDescent="0.2">
      <c r="A35" s="78">
        <v>14</v>
      </c>
      <c r="B35" s="95">
        <v>13</v>
      </c>
      <c r="C35" s="89" t="s">
        <v>318</v>
      </c>
      <c r="D35" s="89" t="s">
        <v>319</v>
      </c>
      <c r="E35" s="89" t="s">
        <v>321</v>
      </c>
      <c r="F35" s="89" t="s">
        <v>227</v>
      </c>
      <c r="G35" s="90">
        <v>23.63</v>
      </c>
      <c r="H35" s="90"/>
      <c r="I35" s="90"/>
      <c r="J35" s="78" t="s">
        <v>313</v>
      </c>
      <c r="K35" s="90">
        <v>5</v>
      </c>
      <c r="L35" s="38">
        <f>VLOOKUP(K35,Reinigungstage!A10:C31,3,FALSE)</f>
        <v>196</v>
      </c>
      <c r="M35" s="38">
        <f t="shared" si="0"/>
        <v>4631.4799999999996</v>
      </c>
      <c r="N35" s="92">
        <f t="shared" si="1"/>
        <v>0</v>
      </c>
      <c r="O35" s="38">
        <f ca="1">IF('SVS UnterhaltsRG'!H61="",0,'SVS UnterhaltsRG'!H61)</f>
        <v>0</v>
      </c>
      <c r="P35" s="38">
        <f t="shared" si="2"/>
        <v>0</v>
      </c>
      <c r="Q35" s="38">
        <f t="shared" ca="1" si="3"/>
        <v>0</v>
      </c>
      <c r="R35" s="38">
        <f t="shared" si="4"/>
        <v>0</v>
      </c>
      <c r="S35" s="38">
        <f t="shared" ca="1" si="5"/>
        <v>0</v>
      </c>
      <c r="T35" s="16" t="str">
        <f t="shared" si="6"/>
        <v>Leistungswert eintragen</v>
      </c>
      <c r="U35" s="16">
        <f t="shared" si="7"/>
        <v>450</v>
      </c>
      <c r="V35" s="16">
        <f t="shared" si="8"/>
        <v>0</v>
      </c>
    </row>
    <row r="36" spans="1:22" ht="15" customHeight="1" x14ac:dyDescent="0.2">
      <c r="A36" s="78">
        <v>15</v>
      </c>
      <c r="B36" s="95">
        <v>14</v>
      </c>
      <c r="C36" s="89" t="s">
        <v>318</v>
      </c>
      <c r="D36" s="89" t="s">
        <v>319</v>
      </c>
      <c r="E36" s="89" t="s">
        <v>332</v>
      </c>
      <c r="F36" s="89" t="s">
        <v>327</v>
      </c>
      <c r="G36" s="90">
        <v>15.34</v>
      </c>
      <c r="H36" s="90"/>
      <c r="I36" s="90"/>
      <c r="J36" s="78" t="s">
        <v>310</v>
      </c>
      <c r="K36" s="90">
        <v>0</v>
      </c>
      <c r="L36" s="38">
        <f>VLOOKUP(K36,Reinigungstage!A10:C31,3,FALSE)</f>
        <v>0</v>
      </c>
      <c r="M36" s="38">
        <f t="shared" si="0"/>
        <v>0</v>
      </c>
      <c r="N36" s="92">
        <f t="shared" si="1"/>
        <v>0</v>
      </c>
      <c r="O36" s="38">
        <f ca="1">IF('SVS UnterhaltsRG'!H61="",0,'SVS UnterhaltsRG'!H61)</f>
        <v>0</v>
      </c>
      <c r="P36" s="38">
        <f t="shared" si="2"/>
        <v>0</v>
      </c>
      <c r="Q36" s="38">
        <f t="shared" si="3"/>
        <v>0</v>
      </c>
      <c r="R36" s="38">
        <f t="shared" si="4"/>
        <v>0</v>
      </c>
      <c r="S36" s="38">
        <f t="shared" si="5"/>
        <v>0</v>
      </c>
      <c r="T36" s="16" t="str">
        <f t="shared" si="6"/>
        <v/>
      </c>
      <c r="U36" s="16">
        <f t="shared" si="7"/>
        <v>300</v>
      </c>
      <c r="V36" s="16">
        <f t="shared" si="8"/>
        <v>0</v>
      </c>
    </row>
    <row r="37" spans="1:22" ht="15" customHeight="1" x14ac:dyDescent="0.2">
      <c r="A37" s="78">
        <v>16</v>
      </c>
      <c r="B37" s="95">
        <v>15</v>
      </c>
      <c r="C37" s="89" t="s">
        <v>318</v>
      </c>
      <c r="D37" s="89" t="s">
        <v>319</v>
      </c>
      <c r="E37" s="89" t="s">
        <v>310</v>
      </c>
      <c r="F37" s="89" t="s">
        <v>327</v>
      </c>
      <c r="G37" s="90">
        <v>12.83</v>
      </c>
      <c r="H37" s="90"/>
      <c r="I37" s="90"/>
      <c r="J37" s="78" t="s">
        <v>310</v>
      </c>
      <c r="K37" s="90">
        <v>0</v>
      </c>
      <c r="L37" s="38">
        <f>VLOOKUP(K37,Reinigungstage!A10:C31,3,FALSE)</f>
        <v>0</v>
      </c>
      <c r="M37" s="38">
        <f t="shared" si="0"/>
        <v>0</v>
      </c>
      <c r="N37" s="92">
        <f t="shared" si="1"/>
        <v>0</v>
      </c>
      <c r="O37" s="38">
        <f ca="1">IF('SVS UnterhaltsRG'!H61="",0,'SVS UnterhaltsRG'!H61)</f>
        <v>0</v>
      </c>
      <c r="P37" s="38">
        <f t="shared" si="2"/>
        <v>0</v>
      </c>
      <c r="Q37" s="38">
        <f t="shared" si="3"/>
        <v>0</v>
      </c>
      <c r="R37" s="38">
        <f t="shared" si="4"/>
        <v>0</v>
      </c>
      <c r="S37" s="38">
        <f t="shared" si="5"/>
        <v>0</v>
      </c>
      <c r="T37" s="16" t="str">
        <f t="shared" si="6"/>
        <v/>
      </c>
      <c r="U37" s="16">
        <f t="shared" si="7"/>
        <v>300</v>
      </c>
      <c r="V37" s="16">
        <f t="shared" si="8"/>
        <v>0</v>
      </c>
    </row>
    <row r="38" spans="1:22" ht="15" customHeight="1" x14ac:dyDescent="0.2">
      <c r="A38" s="78">
        <v>17</v>
      </c>
      <c r="B38" s="95">
        <v>16</v>
      </c>
      <c r="C38" s="89" t="s">
        <v>318</v>
      </c>
      <c r="D38" s="89" t="s">
        <v>319</v>
      </c>
      <c r="E38" s="89" t="s">
        <v>333</v>
      </c>
      <c r="F38" s="89" t="s">
        <v>227</v>
      </c>
      <c r="G38" s="90">
        <v>9.1</v>
      </c>
      <c r="H38" s="90"/>
      <c r="I38" s="90"/>
      <c r="J38" s="78" t="s">
        <v>316</v>
      </c>
      <c r="K38" s="90">
        <v>2</v>
      </c>
      <c r="L38" s="38">
        <f>VLOOKUP(K38,Reinigungstage!A10:C31,3,FALSE)</f>
        <v>81.44</v>
      </c>
      <c r="M38" s="38">
        <f t="shared" si="0"/>
        <v>741.1</v>
      </c>
      <c r="N38" s="92">
        <f t="shared" si="1"/>
        <v>0</v>
      </c>
      <c r="O38" s="38">
        <f ca="1">IF('SVS UnterhaltsRG'!H61="",0,'SVS UnterhaltsRG'!H61)</f>
        <v>0</v>
      </c>
      <c r="P38" s="38">
        <f t="shared" si="2"/>
        <v>0</v>
      </c>
      <c r="Q38" s="38">
        <f t="shared" ca="1" si="3"/>
        <v>0</v>
      </c>
      <c r="R38" s="38">
        <f t="shared" si="4"/>
        <v>0</v>
      </c>
      <c r="S38" s="38">
        <f t="shared" ca="1" si="5"/>
        <v>0</v>
      </c>
      <c r="T38" s="16" t="str">
        <f t="shared" si="6"/>
        <v>Leistungswert eintragen</v>
      </c>
      <c r="U38" s="16">
        <f t="shared" si="7"/>
        <v>220</v>
      </c>
      <c r="V38" s="16">
        <f t="shared" si="8"/>
        <v>0</v>
      </c>
    </row>
    <row r="39" spans="1:22" ht="15" customHeight="1" x14ac:dyDescent="0.2">
      <c r="A39" s="78">
        <v>18</v>
      </c>
      <c r="B39" s="95">
        <v>17</v>
      </c>
      <c r="C39" s="89" t="s">
        <v>318</v>
      </c>
      <c r="D39" s="89" t="s">
        <v>319</v>
      </c>
      <c r="E39" s="89" t="s">
        <v>334</v>
      </c>
      <c r="F39" s="89" t="s">
        <v>227</v>
      </c>
      <c r="G39" s="90">
        <v>5.0199999999999996</v>
      </c>
      <c r="H39" s="90"/>
      <c r="I39" s="90"/>
      <c r="J39" s="78" t="s">
        <v>312</v>
      </c>
      <c r="K39" s="90">
        <v>5</v>
      </c>
      <c r="L39" s="38">
        <f>VLOOKUP(K39,Reinigungstage!A10:C31,3,FALSE)</f>
        <v>196</v>
      </c>
      <c r="M39" s="38">
        <f t="shared" si="0"/>
        <v>983.92</v>
      </c>
      <c r="N39" s="92">
        <f t="shared" si="1"/>
        <v>0</v>
      </c>
      <c r="O39" s="38">
        <f ca="1">IF('SVS UnterhaltsRG'!H61="",0,'SVS UnterhaltsRG'!H61)</f>
        <v>0</v>
      </c>
      <c r="P39" s="38">
        <f t="shared" si="2"/>
        <v>0</v>
      </c>
      <c r="Q39" s="38">
        <f t="shared" ca="1" si="3"/>
        <v>0</v>
      </c>
      <c r="R39" s="38">
        <f t="shared" si="4"/>
        <v>0</v>
      </c>
      <c r="S39" s="38">
        <f t="shared" ca="1" si="5"/>
        <v>0</v>
      </c>
      <c r="T39" s="16" t="str">
        <f t="shared" si="6"/>
        <v>Leistungswert eintragen</v>
      </c>
      <c r="U39" s="16">
        <f t="shared" si="7"/>
        <v>75</v>
      </c>
      <c r="V39" s="16">
        <f t="shared" si="8"/>
        <v>0</v>
      </c>
    </row>
    <row r="40" spans="1:22" ht="15" customHeight="1" x14ac:dyDescent="0.2">
      <c r="A40" s="78">
        <v>19</v>
      </c>
      <c r="B40" s="95">
        <v>18</v>
      </c>
      <c r="C40" s="89" t="s">
        <v>318</v>
      </c>
      <c r="D40" s="89" t="s">
        <v>319</v>
      </c>
      <c r="E40" s="89" t="s">
        <v>237</v>
      </c>
      <c r="F40" s="89" t="s">
        <v>227</v>
      </c>
      <c r="G40" s="90">
        <v>9.6999999999999993</v>
      </c>
      <c r="H40" s="90"/>
      <c r="I40" s="90"/>
      <c r="J40" s="78" t="s">
        <v>312</v>
      </c>
      <c r="K40" s="90">
        <v>5</v>
      </c>
      <c r="L40" s="38">
        <f>VLOOKUP(K40,Reinigungstage!A10:C31,3,FALSE)</f>
        <v>196</v>
      </c>
      <c r="M40" s="38">
        <f t="shared" si="0"/>
        <v>1901.2</v>
      </c>
      <c r="N40" s="92">
        <f t="shared" si="1"/>
        <v>0</v>
      </c>
      <c r="O40" s="38">
        <f ca="1">IF('SVS UnterhaltsRG'!H61="",0,'SVS UnterhaltsRG'!H61)</f>
        <v>0</v>
      </c>
      <c r="P40" s="38">
        <f t="shared" si="2"/>
        <v>0</v>
      </c>
      <c r="Q40" s="38">
        <f t="shared" ca="1" si="3"/>
        <v>0</v>
      </c>
      <c r="R40" s="38">
        <f t="shared" si="4"/>
        <v>0</v>
      </c>
      <c r="S40" s="38">
        <f t="shared" ca="1" si="5"/>
        <v>0</v>
      </c>
      <c r="T40" s="16" t="str">
        <f t="shared" si="6"/>
        <v>Leistungswert eintragen</v>
      </c>
      <c r="U40" s="16">
        <f t="shared" si="7"/>
        <v>75</v>
      </c>
      <c r="V40" s="16">
        <f t="shared" si="8"/>
        <v>0</v>
      </c>
    </row>
    <row r="41" spans="1:22" ht="15" customHeight="1" x14ac:dyDescent="0.2">
      <c r="A41" s="78">
        <v>20</v>
      </c>
      <c r="B41" s="95">
        <v>19</v>
      </c>
      <c r="C41" s="89" t="s">
        <v>318</v>
      </c>
      <c r="D41" s="89" t="s">
        <v>319</v>
      </c>
      <c r="E41" s="89" t="s">
        <v>335</v>
      </c>
      <c r="F41" s="89" t="s">
        <v>227</v>
      </c>
      <c r="G41" s="90">
        <v>5.61</v>
      </c>
      <c r="H41" s="90"/>
      <c r="I41" s="90"/>
      <c r="J41" s="78" t="s">
        <v>313</v>
      </c>
      <c r="K41" s="90">
        <v>5</v>
      </c>
      <c r="L41" s="38">
        <f>VLOOKUP(K41,Reinigungstage!A10:C31,3,FALSE)</f>
        <v>196</v>
      </c>
      <c r="M41" s="38">
        <f t="shared" si="0"/>
        <v>1099.56</v>
      </c>
      <c r="N41" s="92">
        <f t="shared" si="1"/>
        <v>0</v>
      </c>
      <c r="O41" s="38">
        <f ca="1">IF('SVS UnterhaltsRG'!H61="",0,'SVS UnterhaltsRG'!H61)</f>
        <v>0</v>
      </c>
      <c r="P41" s="38">
        <f t="shared" si="2"/>
        <v>0</v>
      </c>
      <c r="Q41" s="38">
        <f t="shared" ca="1" si="3"/>
        <v>0</v>
      </c>
      <c r="R41" s="38">
        <f t="shared" si="4"/>
        <v>0</v>
      </c>
      <c r="S41" s="38">
        <f t="shared" ca="1" si="5"/>
        <v>0</v>
      </c>
      <c r="T41" s="16" t="str">
        <f t="shared" si="6"/>
        <v>Leistungswert eintragen</v>
      </c>
      <c r="U41" s="16">
        <f t="shared" si="7"/>
        <v>450</v>
      </c>
      <c r="V41" s="16">
        <f t="shared" si="8"/>
        <v>0</v>
      </c>
    </row>
    <row r="42" spans="1:22" ht="15" customHeight="1" x14ac:dyDescent="0.2">
      <c r="A42" s="78">
        <v>21</v>
      </c>
      <c r="B42" s="95">
        <v>20</v>
      </c>
      <c r="C42" s="89" t="s">
        <v>318</v>
      </c>
      <c r="D42" s="89" t="s">
        <v>319</v>
      </c>
      <c r="E42" s="89" t="s">
        <v>335</v>
      </c>
      <c r="F42" s="89" t="s">
        <v>227</v>
      </c>
      <c r="G42" s="90">
        <v>5.57</v>
      </c>
      <c r="H42" s="90"/>
      <c r="I42" s="90"/>
      <c r="J42" s="78" t="s">
        <v>313</v>
      </c>
      <c r="K42" s="90">
        <v>5</v>
      </c>
      <c r="L42" s="38">
        <f>VLOOKUP(K42,Reinigungstage!A10:C31,3,FALSE)</f>
        <v>196</v>
      </c>
      <c r="M42" s="38">
        <f t="shared" si="0"/>
        <v>1091.72</v>
      </c>
      <c r="N42" s="92">
        <f t="shared" si="1"/>
        <v>0</v>
      </c>
      <c r="O42" s="38">
        <f ca="1">IF('SVS UnterhaltsRG'!H61="",0,'SVS UnterhaltsRG'!H61)</f>
        <v>0</v>
      </c>
      <c r="P42" s="38">
        <f t="shared" si="2"/>
        <v>0</v>
      </c>
      <c r="Q42" s="38">
        <f t="shared" ca="1" si="3"/>
        <v>0</v>
      </c>
      <c r="R42" s="38">
        <f t="shared" si="4"/>
        <v>0</v>
      </c>
      <c r="S42" s="38">
        <f t="shared" ca="1" si="5"/>
        <v>0</v>
      </c>
      <c r="T42" s="16" t="str">
        <f t="shared" si="6"/>
        <v>Leistungswert eintragen</v>
      </c>
      <c r="U42" s="16">
        <f t="shared" si="7"/>
        <v>450</v>
      </c>
      <c r="V42" s="16">
        <f t="shared" si="8"/>
        <v>0</v>
      </c>
    </row>
    <row r="43" spans="1:22" ht="15" customHeight="1" x14ac:dyDescent="0.2">
      <c r="A43" s="78">
        <v>22</v>
      </c>
      <c r="B43" s="95">
        <v>21</v>
      </c>
      <c r="C43" s="89" t="s">
        <v>318</v>
      </c>
      <c r="D43" s="89" t="s">
        <v>319</v>
      </c>
      <c r="E43" s="89" t="s">
        <v>335</v>
      </c>
      <c r="F43" s="89" t="s">
        <v>227</v>
      </c>
      <c r="G43" s="90">
        <v>7.78</v>
      </c>
      <c r="H43" s="90"/>
      <c r="I43" s="90"/>
      <c r="J43" s="78" t="s">
        <v>313</v>
      </c>
      <c r="K43" s="90">
        <v>5</v>
      </c>
      <c r="L43" s="38">
        <f>VLOOKUP(K43,Reinigungstage!A10:C31,3,FALSE)</f>
        <v>196</v>
      </c>
      <c r="M43" s="38">
        <f t="shared" si="0"/>
        <v>1524.88</v>
      </c>
      <c r="N43" s="92">
        <f t="shared" si="1"/>
        <v>0</v>
      </c>
      <c r="O43" s="38">
        <f ca="1">IF('SVS UnterhaltsRG'!H61="",0,'SVS UnterhaltsRG'!H61)</f>
        <v>0</v>
      </c>
      <c r="P43" s="38">
        <f t="shared" si="2"/>
        <v>0</v>
      </c>
      <c r="Q43" s="38">
        <f t="shared" ca="1" si="3"/>
        <v>0</v>
      </c>
      <c r="R43" s="38">
        <f t="shared" si="4"/>
        <v>0</v>
      </c>
      <c r="S43" s="38">
        <f t="shared" ca="1" si="5"/>
        <v>0</v>
      </c>
      <c r="T43" s="16" t="str">
        <f t="shared" si="6"/>
        <v>Leistungswert eintragen</v>
      </c>
      <c r="U43" s="16">
        <f t="shared" si="7"/>
        <v>450</v>
      </c>
      <c r="V43" s="16">
        <f t="shared" si="8"/>
        <v>0</v>
      </c>
    </row>
    <row r="44" spans="1:22" ht="15" customHeight="1" x14ac:dyDescent="0.2">
      <c r="A44" s="78">
        <v>23</v>
      </c>
      <c r="B44" s="95">
        <v>22</v>
      </c>
      <c r="C44" s="89" t="s">
        <v>318</v>
      </c>
      <c r="D44" s="89" t="s">
        <v>319</v>
      </c>
      <c r="E44" s="89" t="s">
        <v>336</v>
      </c>
      <c r="F44" s="89" t="s">
        <v>227</v>
      </c>
      <c r="G44" s="90">
        <v>3.65</v>
      </c>
      <c r="H44" s="90"/>
      <c r="I44" s="90"/>
      <c r="J44" s="78" t="s">
        <v>310</v>
      </c>
      <c r="K44" s="90">
        <v>0</v>
      </c>
      <c r="L44" s="38">
        <f>VLOOKUP(K44,Reinigungstage!A10:C31,3,FALSE)</f>
        <v>0</v>
      </c>
      <c r="M44" s="38">
        <f t="shared" si="0"/>
        <v>0</v>
      </c>
      <c r="N44" s="92">
        <f t="shared" si="1"/>
        <v>0</v>
      </c>
      <c r="O44" s="38">
        <f ca="1">IF('SVS UnterhaltsRG'!H61="",0,'SVS UnterhaltsRG'!H61)</f>
        <v>0</v>
      </c>
      <c r="P44" s="38">
        <f t="shared" si="2"/>
        <v>0</v>
      </c>
      <c r="Q44" s="38">
        <f t="shared" si="3"/>
        <v>0</v>
      </c>
      <c r="R44" s="38">
        <f t="shared" si="4"/>
        <v>0</v>
      </c>
      <c r="S44" s="38">
        <f t="shared" si="5"/>
        <v>0</v>
      </c>
      <c r="T44" s="16" t="str">
        <f t="shared" si="6"/>
        <v/>
      </c>
      <c r="U44" s="16">
        <f t="shared" si="7"/>
        <v>300</v>
      </c>
      <c r="V44" s="16">
        <f t="shared" si="8"/>
        <v>0</v>
      </c>
    </row>
    <row r="45" spans="1:22" ht="15" customHeight="1" x14ac:dyDescent="0.2">
      <c r="A45" s="78">
        <v>24</v>
      </c>
      <c r="B45" s="78" t="s">
        <v>337</v>
      </c>
      <c r="C45" s="89" t="s">
        <v>318</v>
      </c>
      <c r="D45" s="89" t="s">
        <v>319</v>
      </c>
      <c r="E45" s="89" t="s">
        <v>310</v>
      </c>
      <c r="F45" s="89" t="s">
        <v>227</v>
      </c>
      <c r="G45" s="90">
        <v>1.82</v>
      </c>
      <c r="H45" s="90"/>
      <c r="I45" s="90"/>
      <c r="J45" s="78" t="s">
        <v>310</v>
      </c>
      <c r="K45" s="90">
        <v>0</v>
      </c>
      <c r="L45" s="38">
        <f>VLOOKUP(K45,Reinigungstage!A10:C31,3,FALSE)</f>
        <v>0</v>
      </c>
      <c r="M45" s="38">
        <f t="shared" si="0"/>
        <v>0</v>
      </c>
      <c r="N45" s="92">
        <f t="shared" si="1"/>
        <v>0</v>
      </c>
      <c r="O45" s="38">
        <f ca="1">IF('SVS UnterhaltsRG'!H61="",0,'SVS UnterhaltsRG'!H61)</f>
        <v>0</v>
      </c>
      <c r="P45" s="38">
        <f t="shared" si="2"/>
        <v>0</v>
      </c>
      <c r="Q45" s="38">
        <f t="shared" si="3"/>
        <v>0</v>
      </c>
      <c r="R45" s="38">
        <f t="shared" si="4"/>
        <v>0</v>
      </c>
      <c r="S45" s="38">
        <f t="shared" si="5"/>
        <v>0</v>
      </c>
      <c r="T45" s="16" t="str">
        <f t="shared" si="6"/>
        <v/>
      </c>
      <c r="U45" s="16">
        <f t="shared" si="7"/>
        <v>300</v>
      </c>
      <c r="V45" s="16">
        <f t="shared" si="8"/>
        <v>0</v>
      </c>
    </row>
    <row r="46" spans="1:22" ht="15" customHeight="1" x14ac:dyDescent="0.2">
      <c r="A46" s="78">
        <v>25</v>
      </c>
      <c r="B46" s="88">
        <v>101</v>
      </c>
      <c r="C46" s="89" t="s">
        <v>276</v>
      </c>
      <c r="D46" s="89" t="s">
        <v>319</v>
      </c>
      <c r="E46" s="89" t="s">
        <v>320</v>
      </c>
      <c r="F46" s="89" t="s">
        <v>227</v>
      </c>
      <c r="G46" s="90">
        <v>17.940000000000001</v>
      </c>
      <c r="H46" s="90"/>
      <c r="I46" s="90"/>
      <c r="J46" s="78" t="s">
        <v>307</v>
      </c>
      <c r="K46" s="90">
        <v>5</v>
      </c>
      <c r="L46" s="38">
        <f>VLOOKUP(K46,Reinigungstage!A10:C31,3,FALSE)</f>
        <v>196</v>
      </c>
      <c r="M46" s="38">
        <f t="shared" si="0"/>
        <v>3516.24</v>
      </c>
      <c r="N46" s="92">
        <f t="shared" si="1"/>
        <v>0</v>
      </c>
      <c r="O46" s="38">
        <f ca="1">IF('SVS UnterhaltsRG'!H61="",0,'SVS UnterhaltsRG'!H61)</f>
        <v>0</v>
      </c>
      <c r="P46" s="38">
        <f t="shared" si="2"/>
        <v>0</v>
      </c>
      <c r="Q46" s="38">
        <f t="shared" ca="1" si="3"/>
        <v>0</v>
      </c>
      <c r="R46" s="38">
        <f t="shared" si="4"/>
        <v>0</v>
      </c>
      <c r="S46" s="38">
        <f t="shared" ca="1" si="5"/>
        <v>0</v>
      </c>
      <c r="T46" s="16" t="str">
        <f t="shared" si="6"/>
        <v>Leistungswert eintragen</v>
      </c>
      <c r="U46" s="16">
        <f t="shared" si="7"/>
        <v>165</v>
      </c>
      <c r="V46" s="16">
        <f t="shared" si="8"/>
        <v>0</v>
      </c>
    </row>
    <row r="47" spans="1:22" ht="15" customHeight="1" x14ac:dyDescent="0.2">
      <c r="A47" s="78">
        <v>26</v>
      </c>
      <c r="B47" s="88">
        <v>102</v>
      </c>
      <c r="C47" s="89" t="s">
        <v>276</v>
      </c>
      <c r="D47" s="89" t="s">
        <v>319</v>
      </c>
      <c r="E47" s="89" t="s">
        <v>321</v>
      </c>
      <c r="F47" s="89" t="s">
        <v>227</v>
      </c>
      <c r="G47" s="90">
        <v>7.52</v>
      </c>
      <c r="H47" s="90"/>
      <c r="I47" s="90"/>
      <c r="J47" s="78" t="s">
        <v>313</v>
      </c>
      <c r="K47" s="90">
        <v>5</v>
      </c>
      <c r="L47" s="38">
        <f>VLOOKUP(K47,Reinigungstage!A10:C31,3,FALSE)</f>
        <v>196</v>
      </c>
      <c r="M47" s="38">
        <f t="shared" si="0"/>
        <v>1473.92</v>
      </c>
      <c r="N47" s="92">
        <f t="shared" si="1"/>
        <v>0</v>
      </c>
      <c r="O47" s="38">
        <f ca="1">IF('SVS UnterhaltsRG'!H61="",0,'SVS UnterhaltsRG'!H61)</f>
        <v>0</v>
      </c>
      <c r="P47" s="38">
        <f t="shared" si="2"/>
        <v>0</v>
      </c>
      <c r="Q47" s="38">
        <f t="shared" ca="1" si="3"/>
        <v>0</v>
      </c>
      <c r="R47" s="38">
        <f t="shared" si="4"/>
        <v>0</v>
      </c>
      <c r="S47" s="38">
        <f t="shared" ca="1" si="5"/>
        <v>0</v>
      </c>
      <c r="T47" s="16" t="str">
        <f t="shared" si="6"/>
        <v>Leistungswert eintragen</v>
      </c>
      <c r="U47" s="16">
        <f t="shared" si="7"/>
        <v>450</v>
      </c>
      <c r="V47" s="16">
        <f t="shared" si="8"/>
        <v>0</v>
      </c>
    </row>
    <row r="48" spans="1:22" ht="15" customHeight="1" x14ac:dyDescent="0.2">
      <c r="A48" s="78">
        <v>27</v>
      </c>
      <c r="B48" s="88">
        <v>103</v>
      </c>
      <c r="C48" s="89" t="s">
        <v>276</v>
      </c>
      <c r="D48" s="89" t="s">
        <v>319</v>
      </c>
      <c r="E48" s="89" t="s">
        <v>321</v>
      </c>
      <c r="F48" s="89" t="s">
        <v>227</v>
      </c>
      <c r="G48" s="90">
        <v>7.83</v>
      </c>
      <c r="H48" s="90"/>
      <c r="I48" s="90"/>
      <c r="J48" s="78" t="s">
        <v>313</v>
      </c>
      <c r="K48" s="90">
        <v>5</v>
      </c>
      <c r="L48" s="38">
        <f>VLOOKUP(K48,Reinigungstage!A10:C31,3,FALSE)</f>
        <v>196</v>
      </c>
      <c r="M48" s="38">
        <f t="shared" si="0"/>
        <v>1534.68</v>
      </c>
      <c r="N48" s="92">
        <f t="shared" si="1"/>
        <v>0</v>
      </c>
      <c r="O48" s="38">
        <f ca="1">IF('SVS UnterhaltsRG'!H61="",0,'SVS UnterhaltsRG'!H61)</f>
        <v>0</v>
      </c>
      <c r="P48" s="38">
        <f t="shared" si="2"/>
        <v>0</v>
      </c>
      <c r="Q48" s="38">
        <f t="shared" ca="1" si="3"/>
        <v>0</v>
      </c>
      <c r="R48" s="38">
        <f t="shared" si="4"/>
        <v>0</v>
      </c>
      <c r="S48" s="38">
        <f t="shared" ca="1" si="5"/>
        <v>0</v>
      </c>
      <c r="T48" s="16" t="str">
        <f t="shared" si="6"/>
        <v>Leistungswert eintragen</v>
      </c>
      <c r="U48" s="16">
        <f t="shared" si="7"/>
        <v>450</v>
      </c>
      <c r="V48" s="16">
        <f t="shared" si="8"/>
        <v>0</v>
      </c>
    </row>
    <row r="49" spans="1:22" ht="21" x14ac:dyDescent="0.2">
      <c r="A49" s="78">
        <v>28</v>
      </c>
      <c r="B49" s="88">
        <v>104</v>
      </c>
      <c r="C49" s="89" t="s">
        <v>276</v>
      </c>
      <c r="D49" s="89" t="s">
        <v>319</v>
      </c>
      <c r="E49" s="89" t="s">
        <v>338</v>
      </c>
      <c r="F49" s="89" t="s">
        <v>229</v>
      </c>
      <c r="G49" s="90">
        <v>62.93</v>
      </c>
      <c r="H49" s="90"/>
      <c r="I49" s="90"/>
      <c r="J49" s="78" t="s">
        <v>311</v>
      </c>
      <c r="K49" s="90">
        <v>5</v>
      </c>
      <c r="L49" s="38">
        <f>VLOOKUP(K49,Reinigungstage!A10:C31,3,FALSE)</f>
        <v>196</v>
      </c>
      <c r="M49" s="38">
        <f t="shared" si="0"/>
        <v>12334.28</v>
      </c>
      <c r="N49" s="92">
        <f t="shared" si="1"/>
        <v>0</v>
      </c>
      <c r="O49" s="38">
        <f ca="1">IF('SVS UnterhaltsRG'!H61="",0,'SVS UnterhaltsRG'!H61)</f>
        <v>0</v>
      </c>
      <c r="P49" s="38">
        <f t="shared" si="2"/>
        <v>0</v>
      </c>
      <c r="Q49" s="38">
        <f t="shared" ca="1" si="3"/>
        <v>0</v>
      </c>
      <c r="R49" s="38">
        <f t="shared" si="4"/>
        <v>0</v>
      </c>
      <c r="S49" s="38">
        <f t="shared" ca="1" si="5"/>
        <v>0</v>
      </c>
      <c r="T49" s="16" t="str">
        <f t="shared" si="6"/>
        <v>Leistungswert eintragen</v>
      </c>
      <c r="U49" s="16">
        <f t="shared" si="7"/>
        <v>170</v>
      </c>
      <c r="V49" s="16">
        <f t="shared" si="8"/>
        <v>0</v>
      </c>
    </row>
    <row r="50" spans="1:22" ht="21" x14ac:dyDescent="0.2">
      <c r="A50" s="78">
        <v>29</v>
      </c>
      <c r="B50" s="88">
        <v>105</v>
      </c>
      <c r="C50" s="89" t="s">
        <v>276</v>
      </c>
      <c r="D50" s="89" t="s">
        <v>319</v>
      </c>
      <c r="E50" s="89" t="s">
        <v>339</v>
      </c>
      <c r="F50" s="89" t="s">
        <v>229</v>
      </c>
      <c r="G50" s="90">
        <v>48.21</v>
      </c>
      <c r="H50" s="90"/>
      <c r="I50" s="90"/>
      <c r="J50" s="78" t="s">
        <v>311</v>
      </c>
      <c r="K50" s="90">
        <v>5</v>
      </c>
      <c r="L50" s="38">
        <f>VLOOKUP(K50,Reinigungstage!A10:C31,3,FALSE)</f>
        <v>196</v>
      </c>
      <c r="M50" s="38">
        <f t="shared" si="0"/>
        <v>9449.16</v>
      </c>
      <c r="N50" s="92">
        <f t="shared" si="1"/>
        <v>0</v>
      </c>
      <c r="O50" s="38">
        <f ca="1">IF('SVS UnterhaltsRG'!H61="",0,'SVS UnterhaltsRG'!H61)</f>
        <v>0</v>
      </c>
      <c r="P50" s="38">
        <f t="shared" si="2"/>
        <v>0</v>
      </c>
      <c r="Q50" s="38">
        <f t="shared" ca="1" si="3"/>
        <v>0</v>
      </c>
      <c r="R50" s="38">
        <f t="shared" si="4"/>
        <v>0</v>
      </c>
      <c r="S50" s="38">
        <f t="shared" ca="1" si="5"/>
        <v>0</v>
      </c>
      <c r="T50" s="16" t="str">
        <f t="shared" si="6"/>
        <v>Leistungswert eintragen</v>
      </c>
      <c r="U50" s="16">
        <f t="shared" si="7"/>
        <v>170</v>
      </c>
      <c r="V50" s="16">
        <f t="shared" si="8"/>
        <v>0</v>
      </c>
    </row>
    <row r="51" spans="1:22" ht="15" customHeight="1" x14ac:dyDescent="0.2">
      <c r="A51" s="78">
        <v>30</v>
      </c>
      <c r="B51" s="88">
        <v>106</v>
      </c>
      <c r="C51" s="89" t="s">
        <v>276</v>
      </c>
      <c r="D51" s="89" t="s">
        <v>319</v>
      </c>
      <c r="E51" s="89" t="s">
        <v>340</v>
      </c>
      <c r="F51" s="89" t="s">
        <v>227</v>
      </c>
      <c r="G51" s="90">
        <v>48.84</v>
      </c>
      <c r="H51" s="90"/>
      <c r="I51" s="90"/>
      <c r="J51" s="78" t="s">
        <v>311</v>
      </c>
      <c r="K51" s="90">
        <v>5</v>
      </c>
      <c r="L51" s="38">
        <f>VLOOKUP(K51,Reinigungstage!A10:C31,3,FALSE)</f>
        <v>196</v>
      </c>
      <c r="M51" s="38">
        <f t="shared" si="0"/>
        <v>9572.64</v>
      </c>
      <c r="N51" s="92">
        <f t="shared" si="1"/>
        <v>0</v>
      </c>
      <c r="O51" s="38">
        <f ca="1">IF('SVS UnterhaltsRG'!H61="",0,'SVS UnterhaltsRG'!H61)</f>
        <v>0</v>
      </c>
      <c r="P51" s="38">
        <f t="shared" si="2"/>
        <v>0</v>
      </c>
      <c r="Q51" s="38">
        <f t="shared" ca="1" si="3"/>
        <v>0</v>
      </c>
      <c r="R51" s="38">
        <f t="shared" si="4"/>
        <v>0</v>
      </c>
      <c r="S51" s="38">
        <f t="shared" ca="1" si="5"/>
        <v>0</v>
      </c>
      <c r="T51" s="16" t="str">
        <f t="shared" si="6"/>
        <v>Leistungswert eintragen</v>
      </c>
      <c r="U51" s="16">
        <f t="shared" si="7"/>
        <v>170</v>
      </c>
      <c r="V51" s="16">
        <f t="shared" si="8"/>
        <v>0</v>
      </c>
    </row>
    <row r="52" spans="1:22" ht="15" customHeight="1" x14ac:dyDescent="0.2">
      <c r="A52" s="78">
        <v>31</v>
      </c>
      <c r="B52" s="88">
        <v>107</v>
      </c>
      <c r="C52" s="89" t="s">
        <v>276</v>
      </c>
      <c r="D52" s="89" t="s">
        <v>319</v>
      </c>
      <c r="E52" s="89" t="s">
        <v>341</v>
      </c>
      <c r="F52" s="89" t="s">
        <v>229</v>
      </c>
      <c r="G52" s="90">
        <v>18.27</v>
      </c>
      <c r="H52" s="90"/>
      <c r="I52" s="90"/>
      <c r="J52" s="78" t="s">
        <v>313</v>
      </c>
      <c r="K52" s="90">
        <v>5</v>
      </c>
      <c r="L52" s="38">
        <f>VLOOKUP(K52,Reinigungstage!A10:C31,3,FALSE)</f>
        <v>196</v>
      </c>
      <c r="M52" s="38">
        <f t="shared" si="0"/>
        <v>3580.92</v>
      </c>
      <c r="N52" s="92">
        <f t="shared" si="1"/>
        <v>0</v>
      </c>
      <c r="O52" s="38">
        <f ca="1">IF('SVS UnterhaltsRG'!H61="",0,'SVS UnterhaltsRG'!H61)</f>
        <v>0</v>
      </c>
      <c r="P52" s="38">
        <f t="shared" si="2"/>
        <v>0</v>
      </c>
      <c r="Q52" s="38">
        <f t="shared" ca="1" si="3"/>
        <v>0</v>
      </c>
      <c r="R52" s="38">
        <f t="shared" si="4"/>
        <v>0</v>
      </c>
      <c r="S52" s="38">
        <f t="shared" ca="1" si="5"/>
        <v>0</v>
      </c>
      <c r="T52" s="16" t="str">
        <f t="shared" si="6"/>
        <v>Leistungswert eintragen</v>
      </c>
      <c r="U52" s="16">
        <f t="shared" si="7"/>
        <v>450</v>
      </c>
      <c r="V52" s="16">
        <f t="shared" si="8"/>
        <v>0</v>
      </c>
    </row>
    <row r="53" spans="1:22" ht="15" customHeight="1" x14ac:dyDescent="0.2">
      <c r="A53" s="78">
        <v>32</v>
      </c>
      <c r="B53" s="88">
        <v>108</v>
      </c>
      <c r="C53" s="89" t="s">
        <v>276</v>
      </c>
      <c r="D53" s="89" t="s">
        <v>319</v>
      </c>
      <c r="E53" s="89" t="s">
        <v>342</v>
      </c>
      <c r="F53" s="89" t="s">
        <v>229</v>
      </c>
      <c r="G53" s="90">
        <v>13.62</v>
      </c>
      <c r="H53" s="90"/>
      <c r="I53" s="90"/>
      <c r="J53" s="78" t="s">
        <v>309</v>
      </c>
      <c r="K53" s="90">
        <v>1</v>
      </c>
      <c r="L53" s="38">
        <f>VLOOKUP(K53,Reinigungstage!A10:C31,3,FALSE)</f>
        <v>40.71</v>
      </c>
      <c r="M53" s="38">
        <f t="shared" si="0"/>
        <v>554.47</v>
      </c>
      <c r="N53" s="92">
        <f t="shared" si="1"/>
        <v>0</v>
      </c>
      <c r="O53" s="38">
        <f ca="1">IF('SVS UnterhaltsRG'!H61="",0,'SVS UnterhaltsRG'!H61)</f>
        <v>0</v>
      </c>
      <c r="P53" s="38">
        <f t="shared" si="2"/>
        <v>0</v>
      </c>
      <c r="Q53" s="38">
        <f t="shared" ca="1" si="3"/>
        <v>0</v>
      </c>
      <c r="R53" s="38">
        <f t="shared" si="4"/>
        <v>0</v>
      </c>
      <c r="S53" s="38">
        <f t="shared" ca="1" si="5"/>
        <v>0</v>
      </c>
      <c r="T53" s="16" t="str">
        <f t="shared" si="6"/>
        <v>Leistungswert eintragen</v>
      </c>
      <c r="U53" s="16">
        <f t="shared" si="7"/>
        <v>215</v>
      </c>
      <c r="V53" s="16">
        <f t="shared" si="8"/>
        <v>0</v>
      </c>
    </row>
    <row r="54" spans="1:22" ht="15" customHeight="1" x14ac:dyDescent="0.2">
      <c r="A54" s="78">
        <v>33</v>
      </c>
      <c r="B54" s="88" t="s">
        <v>343</v>
      </c>
      <c r="C54" s="89" t="s">
        <v>276</v>
      </c>
      <c r="D54" s="89" t="s">
        <v>319</v>
      </c>
      <c r="E54" s="89" t="s">
        <v>336</v>
      </c>
      <c r="F54" s="89" t="s">
        <v>229</v>
      </c>
      <c r="G54" s="90">
        <v>4.08</v>
      </c>
      <c r="H54" s="90"/>
      <c r="I54" s="90"/>
      <c r="J54" s="78" t="s">
        <v>310</v>
      </c>
      <c r="K54" s="90">
        <v>0</v>
      </c>
      <c r="L54" s="38">
        <f>VLOOKUP(K54,Reinigungstage!A10:C31,3,FALSE)</f>
        <v>0</v>
      </c>
      <c r="M54" s="38">
        <f t="shared" ref="M54:M85" si="9">ROUND(IF(L54=0,0,L54*G54),2)</f>
        <v>0</v>
      </c>
      <c r="N54" s="92">
        <f t="shared" ref="N54:N85" si="10">VLOOKUP(J54,$G$4:$H$13,2,FALSE)</f>
        <v>0</v>
      </c>
      <c r="O54" s="38">
        <f ca="1">IF('SVS UnterhaltsRG'!H61="",0,'SVS UnterhaltsRG'!H61)</f>
        <v>0</v>
      </c>
      <c r="P54" s="38">
        <f t="shared" ref="P54:P85" si="11">ROUND(IF(N54=0,0,M54/N54),2)</f>
        <v>0</v>
      </c>
      <c r="Q54" s="38">
        <f t="shared" ref="Q54:Q85" si="12">IF(M54=0,0,IF(O54="",0,ROUND(P54*O54,2)))</f>
        <v>0</v>
      </c>
      <c r="R54" s="38">
        <f t="shared" ref="R54:R85" si="13">ROUND(IF(P54=0,0,P54/L54),2)</f>
        <v>0</v>
      </c>
      <c r="S54" s="38">
        <f t="shared" ref="S54:S85" si="14">ROUND(IF(Q54=0,0,Q54/L54),2)</f>
        <v>0</v>
      </c>
      <c r="T54" s="16" t="str">
        <f t="shared" ref="T54:T85" si="15">IF(M54=0,"",IF(N54=0,"Leistungswert eintragen",IF(O54=0,"SVS prüfen","")))</f>
        <v/>
      </c>
      <c r="U54" s="16">
        <f t="shared" ref="U54:U85" si="16">VLOOKUP(J54,$U$4:$V$13,2,FALSE)</f>
        <v>300</v>
      </c>
      <c r="V54" s="16">
        <f t="shared" ref="V54:V85" si="17">IF(M54=0,0,IF(U54&lt;N54,1,IF(U54&gt;=N54,0,"")))</f>
        <v>0</v>
      </c>
    </row>
    <row r="55" spans="1:22" ht="15" customHeight="1" x14ac:dyDescent="0.2">
      <c r="A55" s="78">
        <v>34</v>
      </c>
      <c r="B55" s="88">
        <v>109</v>
      </c>
      <c r="C55" s="89" t="s">
        <v>276</v>
      </c>
      <c r="D55" s="89" t="s">
        <v>319</v>
      </c>
      <c r="E55" s="89" t="s">
        <v>320</v>
      </c>
      <c r="F55" s="89" t="s">
        <v>227</v>
      </c>
      <c r="G55" s="90">
        <v>14.21</v>
      </c>
      <c r="H55" s="90"/>
      <c r="I55" s="90"/>
      <c r="J55" s="78" t="s">
        <v>307</v>
      </c>
      <c r="K55" s="90">
        <v>5</v>
      </c>
      <c r="L55" s="38">
        <f>VLOOKUP(K55,Reinigungstage!A10:C31,3,FALSE)</f>
        <v>196</v>
      </c>
      <c r="M55" s="38">
        <f t="shared" si="9"/>
        <v>2785.16</v>
      </c>
      <c r="N55" s="92">
        <f t="shared" si="10"/>
        <v>0</v>
      </c>
      <c r="O55" s="38">
        <f ca="1">IF('SVS UnterhaltsRG'!H61="",0,'SVS UnterhaltsRG'!H61)</f>
        <v>0</v>
      </c>
      <c r="P55" s="38">
        <f t="shared" si="11"/>
        <v>0</v>
      </c>
      <c r="Q55" s="38">
        <f t="shared" ca="1" si="12"/>
        <v>0</v>
      </c>
      <c r="R55" s="38">
        <f t="shared" si="13"/>
        <v>0</v>
      </c>
      <c r="S55" s="38">
        <f t="shared" ca="1" si="14"/>
        <v>0</v>
      </c>
      <c r="T55" s="16" t="str">
        <f t="shared" si="15"/>
        <v>Leistungswert eintragen</v>
      </c>
      <c r="U55" s="16">
        <f t="shared" si="16"/>
        <v>165</v>
      </c>
      <c r="V55" s="16">
        <f t="shared" si="17"/>
        <v>0</v>
      </c>
    </row>
    <row r="56" spans="1:22" ht="15" customHeight="1" x14ac:dyDescent="0.2">
      <c r="A56" s="78">
        <v>35</v>
      </c>
      <c r="B56" s="88">
        <v>110</v>
      </c>
      <c r="C56" s="89" t="s">
        <v>276</v>
      </c>
      <c r="D56" s="89" t="s">
        <v>319</v>
      </c>
      <c r="E56" s="89" t="s">
        <v>344</v>
      </c>
      <c r="F56" s="89" t="s">
        <v>227</v>
      </c>
      <c r="G56" s="90">
        <v>8.6</v>
      </c>
      <c r="H56" s="90"/>
      <c r="I56" s="90"/>
      <c r="J56" s="78" t="s">
        <v>310</v>
      </c>
      <c r="K56" s="78" t="s">
        <v>157</v>
      </c>
      <c r="L56" s="38">
        <f>VLOOKUP(K56,Reinigungstage!A10:C31,3,FALSE)</f>
        <v>4</v>
      </c>
      <c r="M56" s="38">
        <f t="shared" si="9"/>
        <v>34.4</v>
      </c>
      <c r="N56" s="92">
        <f t="shared" si="10"/>
        <v>0</v>
      </c>
      <c r="O56" s="38">
        <f ca="1">IF('SVS UnterhaltsRG'!H61="",0,'SVS UnterhaltsRG'!H61)</f>
        <v>0</v>
      </c>
      <c r="P56" s="38">
        <f t="shared" si="11"/>
        <v>0</v>
      </c>
      <c r="Q56" s="38">
        <f t="shared" ca="1" si="12"/>
        <v>0</v>
      </c>
      <c r="R56" s="38">
        <f t="shared" si="13"/>
        <v>0</v>
      </c>
      <c r="S56" s="38">
        <f t="shared" ca="1" si="14"/>
        <v>0</v>
      </c>
      <c r="T56" s="16" t="str">
        <f t="shared" si="15"/>
        <v>Leistungswert eintragen</v>
      </c>
      <c r="U56" s="16">
        <f t="shared" si="16"/>
        <v>300</v>
      </c>
      <c r="V56" s="16">
        <f t="shared" si="17"/>
        <v>0</v>
      </c>
    </row>
    <row r="57" spans="1:22" ht="15" customHeight="1" x14ac:dyDescent="0.2">
      <c r="A57" s="78">
        <v>36</v>
      </c>
      <c r="B57" s="88">
        <v>111</v>
      </c>
      <c r="C57" s="89" t="s">
        <v>276</v>
      </c>
      <c r="D57" s="89" t="s">
        <v>319</v>
      </c>
      <c r="E57" s="89" t="s">
        <v>321</v>
      </c>
      <c r="F57" s="89" t="s">
        <v>229</v>
      </c>
      <c r="G57" s="90">
        <v>63.73</v>
      </c>
      <c r="H57" s="90"/>
      <c r="I57" s="90"/>
      <c r="J57" s="78" t="s">
        <v>313</v>
      </c>
      <c r="K57" s="90">
        <v>5</v>
      </c>
      <c r="L57" s="38">
        <f>VLOOKUP(K57,Reinigungstage!A10:C31,3,FALSE)</f>
        <v>196</v>
      </c>
      <c r="M57" s="38">
        <f t="shared" si="9"/>
        <v>12491.08</v>
      </c>
      <c r="N57" s="92">
        <f t="shared" si="10"/>
        <v>0</v>
      </c>
      <c r="O57" s="38">
        <f ca="1">IF('SVS UnterhaltsRG'!H61="",0,'SVS UnterhaltsRG'!H61)</f>
        <v>0</v>
      </c>
      <c r="P57" s="38">
        <f t="shared" si="11"/>
        <v>0</v>
      </c>
      <c r="Q57" s="38">
        <f t="shared" ca="1" si="12"/>
        <v>0</v>
      </c>
      <c r="R57" s="38">
        <f t="shared" si="13"/>
        <v>0</v>
      </c>
      <c r="S57" s="38">
        <f t="shared" ca="1" si="14"/>
        <v>0</v>
      </c>
      <c r="T57" s="16" t="str">
        <f t="shared" si="15"/>
        <v>Leistungswert eintragen</v>
      </c>
      <c r="U57" s="16">
        <f t="shared" si="16"/>
        <v>450</v>
      </c>
      <c r="V57" s="16">
        <f t="shared" si="17"/>
        <v>0</v>
      </c>
    </row>
    <row r="58" spans="1:22" ht="15" customHeight="1" x14ac:dyDescent="0.2">
      <c r="A58" s="78">
        <v>37</v>
      </c>
      <c r="B58" s="88">
        <v>112</v>
      </c>
      <c r="C58" s="89" t="s">
        <v>276</v>
      </c>
      <c r="D58" s="89" t="s">
        <v>319</v>
      </c>
      <c r="E58" s="89" t="s">
        <v>345</v>
      </c>
      <c r="F58" s="89" t="s">
        <v>227</v>
      </c>
      <c r="G58" s="90">
        <v>3.96</v>
      </c>
      <c r="H58" s="90"/>
      <c r="I58" s="90"/>
      <c r="J58" s="78" t="s">
        <v>313</v>
      </c>
      <c r="K58" s="90">
        <v>5</v>
      </c>
      <c r="L58" s="38">
        <f>VLOOKUP(K58,Reinigungstage!A10:C31,3,FALSE)</f>
        <v>196</v>
      </c>
      <c r="M58" s="38">
        <f t="shared" si="9"/>
        <v>776.16</v>
      </c>
      <c r="N58" s="92">
        <f t="shared" si="10"/>
        <v>0</v>
      </c>
      <c r="O58" s="38">
        <f ca="1">IF('SVS UnterhaltsRG'!H61="",0,'SVS UnterhaltsRG'!H61)</f>
        <v>0</v>
      </c>
      <c r="P58" s="38">
        <f t="shared" si="11"/>
        <v>0</v>
      </c>
      <c r="Q58" s="38">
        <f t="shared" ca="1" si="12"/>
        <v>0</v>
      </c>
      <c r="R58" s="38">
        <f t="shared" si="13"/>
        <v>0</v>
      </c>
      <c r="S58" s="38">
        <f t="shared" ca="1" si="14"/>
        <v>0</v>
      </c>
      <c r="T58" s="16" t="str">
        <f t="shared" si="15"/>
        <v>Leistungswert eintragen</v>
      </c>
      <c r="U58" s="16">
        <f t="shared" si="16"/>
        <v>450</v>
      </c>
      <c r="V58" s="16">
        <f t="shared" si="17"/>
        <v>0</v>
      </c>
    </row>
    <row r="59" spans="1:22" ht="15" customHeight="1" x14ac:dyDescent="0.2">
      <c r="A59" s="78">
        <v>38</v>
      </c>
      <c r="B59" s="88" t="s">
        <v>346</v>
      </c>
      <c r="C59" s="89" t="s">
        <v>276</v>
      </c>
      <c r="D59" s="89" t="s">
        <v>319</v>
      </c>
      <c r="E59" s="89" t="s">
        <v>347</v>
      </c>
      <c r="F59" s="89" t="s">
        <v>229</v>
      </c>
      <c r="G59" s="90">
        <v>4.28</v>
      </c>
      <c r="H59" s="90"/>
      <c r="I59" s="90"/>
      <c r="J59" s="78" t="s">
        <v>307</v>
      </c>
      <c r="K59" s="78" t="s">
        <v>154</v>
      </c>
      <c r="L59" s="38">
        <f>VLOOKUP(K59,Reinigungstage!A10:C31,3,FALSE)</f>
        <v>11</v>
      </c>
      <c r="M59" s="38">
        <f t="shared" si="9"/>
        <v>47.08</v>
      </c>
      <c r="N59" s="92">
        <f t="shared" si="10"/>
        <v>0</v>
      </c>
      <c r="O59" s="38">
        <f ca="1">IF('SVS UnterhaltsRG'!H61="",0,'SVS UnterhaltsRG'!H61)</f>
        <v>0</v>
      </c>
      <c r="P59" s="38">
        <f t="shared" si="11"/>
        <v>0</v>
      </c>
      <c r="Q59" s="38">
        <f t="shared" ca="1" si="12"/>
        <v>0</v>
      </c>
      <c r="R59" s="38">
        <f t="shared" si="13"/>
        <v>0</v>
      </c>
      <c r="S59" s="38">
        <f t="shared" ca="1" si="14"/>
        <v>0</v>
      </c>
      <c r="T59" s="16" t="str">
        <f t="shared" si="15"/>
        <v>Leistungswert eintragen</v>
      </c>
      <c r="U59" s="16">
        <f t="shared" si="16"/>
        <v>165</v>
      </c>
      <c r="V59" s="16">
        <f t="shared" si="17"/>
        <v>0</v>
      </c>
    </row>
    <row r="60" spans="1:22" ht="15" customHeight="1" x14ac:dyDescent="0.2">
      <c r="A60" s="78">
        <v>39</v>
      </c>
      <c r="B60" s="88">
        <v>201</v>
      </c>
      <c r="C60" s="89" t="s">
        <v>348</v>
      </c>
      <c r="D60" s="89" t="s">
        <v>319</v>
      </c>
      <c r="E60" s="89" t="s">
        <v>320</v>
      </c>
      <c r="F60" s="89" t="s">
        <v>227</v>
      </c>
      <c r="G60" s="90">
        <v>9.75</v>
      </c>
      <c r="H60" s="90"/>
      <c r="I60" s="90"/>
      <c r="J60" s="78" t="s">
        <v>307</v>
      </c>
      <c r="K60" s="90">
        <v>5</v>
      </c>
      <c r="L60" s="38">
        <f>VLOOKUP(K60,Reinigungstage!A10:C31,3,FALSE)</f>
        <v>196</v>
      </c>
      <c r="M60" s="38">
        <f t="shared" si="9"/>
        <v>1911</v>
      </c>
      <c r="N60" s="92">
        <f t="shared" si="10"/>
        <v>0</v>
      </c>
      <c r="O60" s="38">
        <f ca="1">IF('SVS UnterhaltsRG'!H61="",0,'SVS UnterhaltsRG'!H61)</f>
        <v>0</v>
      </c>
      <c r="P60" s="38">
        <f t="shared" si="11"/>
        <v>0</v>
      </c>
      <c r="Q60" s="38">
        <f t="shared" ca="1" si="12"/>
        <v>0</v>
      </c>
      <c r="R60" s="38">
        <f t="shared" si="13"/>
        <v>0</v>
      </c>
      <c r="S60" s="38">
        <f t="shared" ca="1" si="14"/>
        <v>0</v>
      </c>
      <c r="T60" s="16" t="str">
        <f t="shared" si="15"/>
        <v>Leistungswert eintragen</v>
      </c>
      <c r="U60" s="16">
        <f t="shared" si="16"/>
        <v>165</v>
      </c>
      <c r="V60" s="16">
        <f t="shared" si="17"/>
        <v>0</v>
      </c>
    </row>
    <row r="61" spans="1:22" ht="15" customHeight="1" x14ac:dyDescent="0.2">
      <c r="A61" s="78">
        <v>40</v>
      </c>
      <c r="B61" s="88" t="s">
        <v>349</v>
      </c>
      <c r="C61" s="89" t="s">
        <v>348</v>
      </c>
      <c r="D61" s="89" t="s">
        <v>319</v>
      </c>
      <c r="E61" s="89" t="s">
        <v>350</v>
      </c>
      <c r="F61" s="89" t="s">
        <v>227</v>
      </c>
      <c r="G61" s="90">
        <v>14.46</v>
      </c>
      <c r="H61" s="90"/>
      <c r="I61" s="90"/>
      <c r="J61" s="78" t="s">
        <v>307</v>
      </c>
      <c r="K61" s="90">
        <v>5</v>
      </c>
      <c r="L61" s="38">
        <f>VLOOKUP(K61,Reinigungstage!A10:C31,3,FALSE)</f>
        <v>196</v>
      </c>
      <c r="M61" s="38">
        <f t="shared" si="9"/>
        <v>2834.16</v>
      </c>
      <c r="N61" s="92">
        <f t="shared" si="10"/>
        <v>0</v>
      </c>
      <c r="O61" s="38">
        <f ca="1">IF('SVS UnterhaltsRG'!H61="",0,'SVS UnterhaltsRG'!H61)</f>
        <v>0</v>
      </c>
      <c r="P61" s="38">
        <f t="shared" si="11"/>
        <v>0</v>
      </c>
      <c r="Q61" s="38">
        <f t="shared" ca="1" si="12"/>
        <v>0</v>
      </c>
      <c r="R61" s="38">
        <f t="shared" si="13"/>
        <v>0</v>
      </c>
      <c r="S61" s="38">
        <f t="shared" ca="1" si="14"/>
        <v>0</v>
      </c>
      <c r="T61" s="16" t="str">
        <f t="shared" si="15"/>
        <v>Leistungswert eintragen</v>
      </c>
      <c r="U61" s="16">
        <f t="shared" si="16"/>
        <v>165</v>
      </c>
      <c r="V61" s="16">
        <f t="shared" si="17"/>
        <v>0</v>
      </c>
    </row>
    <row r="62" spans="1:22" ht="15" customHeight="1" x14ac:dyDescent="0.2">
      <c r="A62" s="78">
        <v>41</v>
      </c>
      <c r="B62" s="88">
        <v>202</v>
      </c>
      <c r="C62" s="89" t="s">
        <v>348</v>
      </c>
      <c r="D62" s="89" t="s">
        <v>319</v>
      </c>
      <c r="E62" s="89" t="s">
        <v>321</v>
      </c>
      <c r="F62" s="89" t="s">
        <v>229</v>
      </c>
      <c r="G62" s="90">
        <v>49.7</v>
      </c>
      <c r="H62" s="90"/>
      <c r="I62" s="90"/>
      <c r="J62" s="78" t="s">
        <v>313</v>
      </c>
      <c r="K62" s="90">
        <v>5</v>
      </c>
      <c r="L62" s="38">
        <f>VLOOKUP(K62,Reinigungstage!A10:C31,3,FALSE)</f>
        <v>196</v>
      </c>
      <c r="M62" s="38">
        <f t="shared" si="9"/>
        <v>9741.2000000000007</v>
      </c>
      <c r="N62" s="92">
        <f t="shared" si="10"/>
        <v>0</v>
      </c>
      <c r="O62" s="38">
        <f ca="1">IF('SVS UnterhaltsRG'!H61="",0,'SVS UnterhaltsRG'!H61)</f>
        <v>0</v>
      </c>
      <c r="P62" s="38">
        <f t="shared" si="11"/>
        <v>0</v>
      </c>
      <c r="Q62" s="38">
        <f t="shared" ca="1" si="12"/>
        <v>0</v>
      </c>
      <c r="R62" s="38">
        <f t="shared" si="13"/>
        <v>0</v>
      </c>
      <c r="S62" s="38">
        <f t="shared" ca="1" si="14"/>
        <v>0</v>
      </c>
      <c r="T62" s="16" t="str">
        <f t="shared" si="15"/>
        <v>Leistungswert eintragen</v>
      </c>
      <c r="U62" s="16">
        <f t="shared" si="16"/>
        <v>450</v>
      </c>
      <c r="V62" s="16">
        <f t="shared" si="17"/>
        <v>0</v>
      </c>
    </row>
    <row r="63" spans="1:22" ht="15" customHeight="1" x14ac:dyDescent="0.2">
      <c r="A63" s="78">
        <v>42</v>
      </c>
      <c r="B63" s="88" t="s">
        <v>351</v>
      </c>
      <c r="C63" s="89" t="s">
        <v>348</v>
      </c>
      <c r="D63" s="89" t="s">
        <v>319</v>
      </c>
      <c r="E63" s="89" t="s">
        <v>347</v>
      </c>
      <c r="F63" s="89" t="s">
        <v>229</v>
      </c>
      <c r="G63" s="90">
        <v>4.2699999999999996</v>
      </c>
      <c r="H63" s="90"/>
      <c r="I63" s="90"/>
      <c r="J63" s="78" t="s">
        <v>307</v>
      </c>
      <c r="K63" s="90">
        <v>0</v>
      </c>
      <c r="L63" s="38">
        <f>VLOOKUP(K63,Reinigungstage!A10:C31,3,FALSE)</f>
        <v>0</v>
      </c>
      <c r="M63" s="38">
        <f t="shared" si="9"/>
        <v>0</v>
      </c>
      <c r="N63" s="92">
        <f t="shared" si="10"/>
        <v>0</v>
      </c>
      <c r="O63" s="38">
        <f ca="1">IF('SVS UnterhaltsRG'!H61="",0,'SVS UnterhaltsRG'!H61)</f>
        <v>0</v>
      </c>
      <c r="P63" s="38">
        <f t="shared" si="11"/>
        <v>0</v>
      </c>
      <c r="Q63" s="38">
        <f t="shared" si="12"/>
        <v>0</v>
      </c>
      <c r="R63" s="38">
        <f t="shared" si="13"/>
        <v>0</v>
      </c>
      <c r="S63" s="38">
        <f t="shared" si="14"/>
        <v>0</v>
      </c>
      <c r="T63" s="16" t="str">
        <f t="shared" si="15"/>
        <v/>
      </c>
      <c r="U63" s="16">
        <f t="shared" si="16"/>
        <v>165</v>
      </c>
      <c r="V63" s="16">
        <f t="shared" si="17"/>
        <v>0</v>
      </c>
    </row>
    <row r="64" spans="1:22" ht="15" customHeight="1" x14ac:dyDescent="0.2">
      <c r="A64" s="78">
        <v>43</v>
      </c>
      <c r="B64" s="88">
        <v>203</v>
      </c>
      <c r="C64" s="89" t="s">
        <v>348</v>
      </c>
      <c r="D64" s="89" t="s">
        <v>319</v>
      </c>
      <c r="E64" s="89" t="s">
        <v>254</v>
      </c>
      <c r="F64" s="89" t="s">
        <v>229</v>
      </c>
      <c r="G64" s="90">
        <v>5.54</v>
      </c>
      <c r="H64" s="90"/>
      <c r="I64" s="90"/>
      <c r="J64" s="78" t="s">
        <v>310</v>
      </c>
      <c r="K64" s="90">
        <v>0</v>
      </c>
      <c r="L64" s="38">
        <f>VLOOKUP(K64,Reinigungstage!A10:C31,3,FALSE)</f>
        <v>0</v>
      </c>
      <c r="M64" s="38">
        <f t="shared" si="9"/>
        <v>0</v>
      </c>
      <c r="N64" s="92">
        <f t="shared" si="10"/>
        <v>0</v>
      </c>
      <c r="O64" s="38">
        <f ca="1">IF('SVS UnterhaltsRG'!H61="",0,'SVS UnterhaltsRG'!H61)</f>
        <v>0</v>
      </c>
      <c r="P64" s="38">
        <f t="shared" si="11"/>
        <v>0</v>
      </c>
      <c r="Q64" s="38">
        <f t="shared" si="12"/>
        <v>0</v>
      </c>
      <c r="R64" s="38">
        <f t="shared" si="13"/>
        <v>0</v>
      </c>
      <c r="S64" s="38">
        <f t="shared" si="14"/>
        <v>0</v>
      </c>
      <c r="T64" s="16" t="str">
        <f t="shared" si="15"/>
        <v/>
      </c>
      <c r="U64" s="16">
        <f t="shared" si="16"/>
        <v>300</v>
      </c>
      <c r="V64" s="16">
        <f t="shared" si="17"/>
        <v>0</v>
      </c>
    </row>
    <row r="65" spans="1:22" ht="15" customHeight="1" x14ac:dyDescent="0.2">
      <c r="A65" s="78">
        <v>44</v>
      </c>
      <c r="B65" s="88">
        <v>204</v>
      </c>
      <c r="C65" s="89" t="s">
        <v>348</v>
      </c>
      <c r="D65" s="89" t="s">
        <v>319</v>
      </c>
      <c r="E65" s="89" t="s">
        <v>352</v>
      </c>
      <c r="F65" s="89" t="s">
        <v>229</v>
      </c>
      <c r="G65" s="90">
        <v>50.4</v>
      </c>
      <c r="H65" s="90"/>
      <c r="I65" s="90"/>
      <c r="J65" s="78" t="s">
        <v>311</v>
      </c>
      <c r="K65" s="90">
        <v>5</v>
      </c>
      <c r="L65" s="38">
        <f>VLOOKUP(K65,Reinigungstage!A10:C31,3,FALSE)</f>
        <v>196</v>
      </c>
      <c r="M65" s="38">
        <f t="shared" si="9"/>
        <v>9878.4</v>
      </c>
      <c r="N65" s="92">
        <f t="shared" si="10"/>
        <v>0</v>
      </c>
      <c r="O65" s="38">
        <f ca="1">IF('SVS UnterhaltsRG'!H61="",0,'SVS UnterhaltsRG'!H61)</f>
        <v>0</v>
      </c>
      <c r="P65" s="38">
        <f t="shared" si="11"/>
        <v>0</v>
      </c>
      <c r="Q65" s="38">
        <f t="shared" ca="1" si="12"/>
        <v>0</v>
      </c>
      <c r="R65" s="38">
        <f t="shared" si="13"/>
        <v>0</v>
      </c>
      <c r="S65" s="38">
        <f t="shared" ca="1" si="14"/>
        <v>0</v>
      </c>
      <c r="T65" s="16" t="str">
        <f t="shared" si="15"/>
        <v>Leistungswert eintragen</v>
      </c>
      <c r="U65" s="16">
        <f t="shared" si="16"/>
        <v>170</v>
      </c>
      <c r="V65" s="16">
        <f t="shared" si="17"/>
        <v>0</v>
      </c>
    </row>
    <row r="66" spans="1:22" ht="15" customHeight="1" x14ac:dyDescent="0.2">
      <c r="A66" s="78">
        <v>45</v>
      </c>
      <c r="B66" s="88">
        <v>205</v>
      </c>
      <c r="C66" s="89" t="s">
        <v>348</v>
      </c>
      <c r="D66" s="89" t="s">
        <v>319</v>
      </c>
      <c r="E66" s="89" t="s">
        <v>284</v>
      </c>
      <c r="F66" s="89" t="s">
        <v>229</v>
      </c>
      <c r="G66" s="90">
        <v>33.53</v>
      </c>
      <c r="H66" s="90"/>
      <c r="I66" s="90"/>
      <c r="J66" s="78" t="s">
        <v>309</v>
      </c>
      <c r="K66" s="90">
        <v>1</v>
      </c>
      <c r="L66" s="38">
        <f>VLOOKUP(K66,Reinigungstage!A10:C31,3,FALSE)</f>
        <v>40.71</v>
      </c>
      <c r="M66" s="38">
        <f t="shared" si="9"/>
        <v>1365.01</v>
      </c>
      <c r="N66" s="92">
        <f t="shared" si="10"/>
        <v>0</v>
      </c>
      <c r="O66" s="38">
        <f ca="1">IF('SVS UnterhaltsRG'!H61="",0,'SVS UnterhaltsRG'!H61)</f>
        <v>0</v>
      </c>
      <c r="P66" s="38">
        <f t="shared" si="11"/>
        <v>0</v>
      </c>
      <c r="Q66" s="38">
        <f t="shared" ca="1" si="12"/>
        <v>0</v>
      </c>
      <c r="R66" s="38">
        <f t="shared" si="13"/>
        <v>0</v>
      </c>
      <c r="S66" s="38">
        <f t="shared" ca="1" si="14"/>
        <v>0</v>
      </c>
      <c r="T66" s="16" t="str">
        <f t="shared" si="15"/>
        <v>Leistungswert eintragen</v>
      </c>
      <c r="U66" s="16">
        <f t="shared" si="16"/>
        <v>215</v>
      </c>
      <c r="V66" s="16">
        <f t="shared" si="17"/>
        <v>0</v>
      </c>
    </row>
    <row r="67" spans="1:22" ht="15" customHeight="1" x14ac:dyDescent="0.2">
      <c r="A67" s="78">
        <v>46</v>
      </c>
      <c r="B67" s="88">
        <v>206</v>
      </c>
      <c r="C67" s="89" t="s">
        <v>348</v>
      </c>
      <c r="D67" s="89" t="s">
        <v>319</v>
      </c>
      <c r="E67" s="89" t="s">
        <v>353</v>
      </c>
      <c r="F67" s="89" t="s">
        <v>229</v>
      </c>
      <c r="G67" s="90">
        <v>40.04</v>
      </c>
      <c r="H67" s="90"/>
      <c r="I67" s="90"/>
      <c r="J67" s="78" t="s">
        <v>311</v>
      </c>
      <c r="K67" s="90">
        <v>5</v>
      </c>
      <c r="L67" s="38">
        <f>VLOOKUP(K67,Reinigungstage!A10:C31,3,FALSE)</f>
        <v>196</v>
      </c>
      <c r="M67" s="38">
        <f t="shared" si="9"/>
        <v>7847.84</v>
      </c>
      <c r="N67" s="92">
        <f t="shared" si="10"/>
        <v>0</v>
      </c>
      <c r="O67" s="38">
        <f ca="1">IF('SVS UnterhaltsRG'!H61="",0,'SVS UnterhaltsRG'!H61)</f>
        <v>0</v>
      </c>
      <c r="P67" s="38">
        <f t="shared" si="11"/>
        <v>0</v>
      </c>
      <c r="Q67" s="38">
        <f t="shared" ca="1" si="12"/>
        <v>0</v>
      </c>
      <c r="R67" s="38">
        <f t="shared" si="13"/>
        <v>0</v>
      </c>
      <c r="S67" s="38">
        <f t="shared" ca="1" si="14"/>
        <v>0</v>
      </c>
      <c r="T67" s="16" t="str">
        <f t="shared" si="15"/>
        <v>Leistungswert eintragen</v>
      </c>
      <c r="U67" s="16">
        <f t="shared" si="16"/>
        <v>170</v>
      </c>
      <c r="V67" s="16">
        <f t="shared" si="17"/>
        <v>0</v>
      </c>
    </row>
    <row r="68" spans="1:22" ht="15" customHeight="1" x14ac:dyDescent="0.2">
      <c r="A68" s="78">
        <v>47</v>
      </c>
      <c r="B68" s="88">
        <v>207</v>
      </c>
      <c r="C68" s="89" t="s">
        <v>348</v>
      </c>
      <c r="D68" s="89" t="s">
        <v>319</v>
      </c>
      <c r="E68" s="89" t="s">
        <v>354</v>
      </c>
      <c r="F68" s="89" t="s">
        <v>229</v>
      </c>
      <c r="G68" s="90">
        <v>31.77</v>
      </c>
      <c r="H68" s="90"/>
      <c r="I68" s="90"/>
      <c r="J68" s="78" t="s">
        <v>311</v>
      </c>
      <c r="K68" s="90">
        <v>5</v>
      </c>
      <c r="L68" s="38">
        <f>VLOOKUP(K68,Reinigungstage!A10:C31,3,FALSE)</f>
        <v>196</v>
      </c>
      <c r="M68" s="38">
        <f t="shared" si="9"/>
        <v>6226.92</v>
      </c>
      <c r="N68" s="92">
        <f t="shared" si="10"/>
        <v>0</v>
      </c>
      <c r="O68" s="38">
        <f ca="1">IF('SVS UnterhaltsRG'!H61="",0,'SVS UnterhaltsRG'!H61)</f>
        <v>0</v>
      </c>
      <c r="P68" s="38">
        <f t="shared" si="11"/>
        <v>0</v>
      </c>
      <c r="Q68" s="38">
        <f t="shared" ca="1" si="12"/>
        <v>0</v>
      </c>
      <c r="R68" s="38">
        <f t="shared" si="13"/>
        <v>0</v>
      </c>
      <c r="S68" s="38">
        <f t="shared" ca="1" si="14"/>
        <v>0</v>
      </c>
      <c r="T68" s="16" t="str">
        <f t="shared" si="15"/>
        <v>Leistungswert eintragen</v>
      </c>
      <c r="U68" s="16">
        <f t="shared" si="16"/>
        <v>170</v>
      </c>
      <c r="V68" s="16">
        <f t="shared" si="17"/>
        <v>0</v>
      </c>
    </row>
    <row r="69" spans="1:22" ht="15" customHeight="1" x14ac:dyDescent="0.2">
      <c r="A69" s="78">
        <v>48</v>
      </c>
      <c r="B69" s="88">
        <v>208</v>
      </c>
      <c r="C69" s="89" t="s">
        <v>348</v>
      </c>
      <c r="D69" s="89" t="s">
        <v>319</v>
      </c>
      <c r="E69" s="89" t="s">
        <v>355</v>
      </c>
      <c r="F69" s="89" t="s">
        <v>229</v>
      </c>
      <c r="G69" s="90">
        <v>13.74</v>
      </c>
      <c r="H69" s="90"/>
      <c r="I69" s="90"/>
      <c r="J69" s="78" t="s">
        <v>309</v>
      </c>
      <c r="K69" s="90">
        <v>1</v>
      </c>
      <c r="L69" s="38">
        <f>VLOOKUP(K69,Reinigungstage!A10:C31,3,FALSE)</f>
        <v>40.71</v>
      </c>
      <c r="M69" s="38">
        <f t="shared" si="9"/>
        <v>559.36</v>
      </c>
      <c r="N69" s="92">
        <f t="shared" si="10"/>
        <v>0</v>
      </c>
      <c r="O69" s="38">
        <f ca="1">IF('SVS UnterhaltsRG'!H61="",0,'SVS UnterhaltsRG'!H61)</f>
        <v>0</v>
      </c>
      <c r="P69" s="38">
        <f t="shared" si="11"/>
        <v>0</v>
      </c>
      <c r="Q69" s="38">
        <f t="shared" ca="1" si="12"/>
        <v>0</v>
      </c>
      <c r="R69" s="38">
        <f t="shared" si="13"/>
        <v>0</v>
      </c>
      <c r="S69" s="38">
        <f t="shared" ca="1" si="14"/>
        <v>0</v>
      </c>
      <c r="T69" s="16" t="str">
        <f t="shared" si="15"/>
        <v>Leistungswert eintragen</v>
      </c>
      <c r="U69" s="16">
        <f t="shared" si="16"/>
        <v>215</v>
      </c>
      <c r="V69" s="16">
        <f t="shared" si="17"/>
        <v>0</v>
      </c>
    </row>
    <row r="70" spans="1:22" ht="15" customHeight="1" x14ac:dyDescent="0.2">
      <c r="A70" s="78">
        <v>49</v>
      </c>
      <c r="B70" s="88">
        <v>209</v>
      </c>
      <c r="C70" s="89" t="s">
        <v>348</v>
      </c>
      <c r="D70" s="89" t="s">
        <v>319</v>
      </c>
      <c r="E70" s="89" t="s">
        <v>356</v>
      </c>
      <c r="F70" s="89" t="s">
        <v>229</v>
      </c>
      <c r="G70" s="90">
        <v>24.82</v>
      </c>
      <c r="H70" s="90"/>
      <c r="I70" s="90"/>
      <c r="J70" s="78" t="s">
        <v>314</v>
      </c>
      <c r="K70" s="90">
        <v>1</v>
      </c>
      <c r="L70" s="38">
        <f>VLOOKUP(K70,Reinigungstage!A10:C31,3,FALSE)</f>
        <v>40.71</v>
      </c>
      <c r="M70" s="38">
        <f t="shared" si="9"/>
        <v>1010.42</v>
      </c>
      <c r="N70" s="92">
        <f t="shared" si="10"/>
        <v>0</v>
      </c>
      <c r="O70" s="38">
        <f ca="1">IF('SVS UnterhaltsRG'!H61="",0,'SVS UnterhaltsRG'!H61)</f>
        <v>0</v>
      </c>
      <c r="P70" s="38">
        <f t="shared" si="11"/>
        <v>0</v>
      </c>
      <c r="Q70" s="38">
        <f t="shared" ca="1" si="12"/>
        <v>0</v>
      </c>
      <c r="R70" s="38">
        <f t="shared" si="13"/>
        <v>0</v>
      </c>
      <c r="S70" s="38">
        <f t="shared" ca="1" si="14"/>
        <v>0</v>
      </c>
      <c r="T70" s="16" t="str">
        <f t="shared" si="15"/>
        <v>Leistungswert eintragen</v>
      </c>
      <c r="U70" s="16">
        <f t="shared" si="16"/>
        <v>195</v>
      </c>
      <c r="V70" s="16">
        <f t="shared" si="17"/>
        <v>0</v>
      </c>
    </row>
    <row r="71" spans="1:22" ht="15" customHeight="1" x14ac:dyDescent="0.2">
      <c r="A71" s="78">
        <v>50</v>
      </c>
      <c r="B71" s="88">
        <v>210</v>
      </c>
      <c r="C71" s="89" t="s">
        <v>348</v>
      </c>
      <c r="D71" s="89" t="s">
        <v>319</v>
      </c>
      <c r="E71" s="89" t="s">
        <v>237</v>
      </c>
      <c r="F71" s="89" t="s">
        <v>227</v>
      </c>
      <c r="G71" s="90">
        <v>9.7799999999999994</v>
      </c>
      <c r="H71" s="90"/>
      <c r="I71" s="90"/>
      <c r="J71" s="78" t="s">
        <v>312</v>
      </c>
      <c r="K71" s="90">
        <v>5</v>
      </c>
      <c r="L71" s="38">
        <f>VLOOKUP(K71,Reinigungstage!A10:C31,3,FALSE)</f>
        <v>196</v>
      </c>
      <c r="M71" s="38">
        <f t="shared" si="9"/>
        <v>1916.88</v>
      </c>
      <c r="N71" s="92">
        <f t="shared" si="10"/>
        <v>0</v>
      </c>
      <c r="O71" s="38">
        <f ca="1">IF('SVS UnterhaltsRG'!H61="",0,'SVS UnterhaltsRG'!H61)</f>
        <v>0</v>
      </c>
      <c r="P71" s="38">
        <f t="shared" si="11"/>
        <v>0</v>
      </c>
      <c r="Q71" s="38">
        <f t="shared" ca="1" si="12"/>
        <v>0</v>
      </c>
      <c r="R71" s="38">
        <f t="shared" si="13"/>
        <v>0</v>
      </c>
      <c r="S71" s="38">
        <f t="shared" ca="1" si="14"/>
        <v>0</v>
      </c>
      <c r="T71" s="16" t="str">
        <f t="shared" si="15"/>
        <v>Leistungswert eintragen</v>
      </c>
      <c r="U71" s="16">
        <f t="shared" si="16"/>
        <v>75</v>
      </c>
      <c r="V71" s="16">
        <f t="shared" si="17"/>
        <v>0</v>
      </c>
    </row>
    <row r="72" spans="1:22" ht="15" customHeight="1" x14ac:dyDescent="0.2">
      <c r="A72" s="78">
        <v>51</v>
      </c>
      <c r="B72" s="88">
        <v>211</v>
      </c>
      <c r="C72" s="89" t="s">
        <v>348</v>
      </c>
      <c r="D72" s="89" t="s">
        <v>319</v>
      </c>
      <c r="E72" s="89" t="s">
        <v>235</v>
      </c>
      <c r="F72" s="89" t="s">
        <v>227</v>
      </c>
      <c r="G72" s="90">
        <v>6.17</v>
      </c>
      <c r="H72" s="90"/>
      <c r="I72" s="90"/>
      <c r="J72" s="78" t="s">
        <v>312</v>
      </c>
      <c r="K72" s="90">
        <v>5</v>
      </c>
      <c r="L72" s="38">
        <f>VLOOKUP(K72,Reinigungstage!A10:C31,3,FALSE)</f>
        <v>196</v>
      </c>
      <c r="M72" s="38">
        <f t="shared" si="9"/>
        <v>1209.32</v>
      </c>
      <c r="N72" s="92">
        <f t="shared" si="10"/>
        <v>0</v>
      </c>
      <c r="O72" s="38">
        <f ca="1">IF('SVS UnterhaltsRG'!H61="",0,'SVS UnterhaltsRG'!H61)</f>
        <v>0</v>
      </c>
      <c r="P72" s="38">
        <f t="shared" si="11"/>
        <v>0</v>
      </c>
      <c r="Q72" s="38">
        <f t="shared" ca="1" si="12"/>
        <v>0</v>
      </c>
      <c r="R72" s="38">
        <f t="shared" si="13"/>
        <v>0</v>
      </c>
      <c r="S72" s="38">
        <f t="shared" ca="1" si="14"/>
        <v>0</v>
      </c>
      <c r="T72" s="16" t="str">
        <f t="shared" si="15"/>
        <v>Leistungswert eintragen</v>
      </c>
      <c r="U72" s="16">
        <f t="shared" si="16"/>
        <v>75</v>
      </c>
      <c r="V72" s="16">
        <f t="shared" si="17"/>
        <v>0</v>
      </c>
    </row>
    <row r="73" spans="1:22" ht="15" customHeight="1" x14ac:dyDescent="0.2">
      <c r="A73" s="78">
        <v>52</v>
      </c>
      <c r="B73" s="88">
        <v>212</v>
      </c>
      <c r="C73" s="89" t="s">
        <v>348</v>
      </c>
      <c r="D73" s="89" t="s">
        <v>319</v>
      </c>
      <c r="E73" s="89" t="s">
        <v>357</v>
      </c>
      <c r="F73" s="89" t="s">
        <v>227</v>
      </c>
      <c r="G73" s="90">
        <v>4.83</v>
      </c>
      <c r="H73" s="90"/>
      <c r="I73" s="90"/>
      <c r="J73" s="78" t="s">
        <v>312</v>
      </c>
      <c r="K73" s="90">
        <v>5</v>
      </c>
      <c r="L73" s="38">
        <f>VLOOKUP(K73,Reinigungstage!A10:C31,3,FALSE)</f>
        <v>196</v>
      </c>
      <c r="M73" s="38">
        <f t="shared" si="9"/>
        <v>946.68</v>
      </c>
      <c r="N73" s="92">
        <f t="shared" si="10"/>
        <v>0</v>
      </c>
      <c r="O73" s="38">
        <f ca="1">IF('SVS UnterhaltsRG'!H61="",0,'SVS UnterhaltsRG'!H61)</f>
        <v>0</v>
      </c>
      <c r="P73" s="38">
        <f t="shared" si="11"/>
        <v>0</v>
      </c>
      <c r="Q73" s="38">
        <f t="shared" ca="1" si="12"/>
        <v>0</v>
      </c>
      <c r="R73" s="38">
        <f t="shared" si="13"/>
        <v>0</v>
      </c>
      <c r="S73" s="38">
        <f t="shared" ca="1" si="14"/>
        <v>0</v>
      </c>
      <c r="T73" s="16" t="str">
        <f t="shared" si="15"/>
        <v>Leistungswert eintragen</v>
      </c>
      <c r="U73" s="16">
        <f t="shared" si="16"/>
        <v>75</v>
      </c>
      <c r="V73" s="16">
        <f t="shared" si="17"/>
        <v>0</v>
      </c>
    </row>
    <row r="74" spans="1:22" ht="15" customHeight="1" x14ac:dyDescent="0.2">
      <c r="A74" s="78">
        <v>53</v>
      </c>
      <c r="B74" s="88">
        <v>213</v>
      </c>
      <c r="C74" s="89" t="s">
        <v>348</v>
      </c>
      <c r="D74" s="89" t="s">
        <v>319</v>
      </c>
      <c r="E74" s="89" t="s">
        <v>320</v>
      </c>
      <c r="F74" s="89" t="s">
        <v>227</v>
      </c>
      <c r="G74" s="90">
        <v>4.37</v>
      </c>
      <c r="H74" s="90"/>
      <c r="I74" s="90"/>
      <c r="J74" s="78" t="s">
        <v>307</v>
      </c>
      <c r="K74" s="90">
        <v>5</v>
      </c>
      <c r="L74" s="38">
        <f>VLOOKUP(K74,Reinigungstage!A10:C31,3,FALSE)</f>
        <v>196</v>
      </c>
      <c r="M74" s="38">
        <f t="shared" si="9"/>
        <v>856.52</v>
      </c>
      <c r="N74" s="92">
        <f t="shared" si="10"/>
        <v>0</v>
      </c>
      <c r="O74" s="38">
        <f ca="1">IF('SVS UnterhaltsRG'!H61="",0,'SVS UnterhaltsRG'!H61)</f>
        <v>0</v>
      </c>
      <c r="P74" s="38">
        <f t="shared" si="11"/>
        <v>0</v>
      </c>
      <c r="Q74" s="38">
        <f t="shared" ca="1" si="12"/>
        <v>0</v>
      </c>
      <c r="R74" s="38">
        <f t="shared" si="13"/>
        <v>0</v>
      </c>
      <c r="S74" s="38">
        <f t="shared" ca="1" si="14"/>
        <v>0</v>
      </c>
      <c r="T74" s="16" t="str">
        <f t="shared" si="15"/>
        <v>Leistungswert eintragen</v>
      </c>
      <c r="U74" s="16">
        <f t="shared" si="16"/>
        <v>165</v>
      </c>
      <c r="V74" s="16">
        <f t="shared" si="17"/>
        <v>0</v>
      </c>
    </row>
    <row r="75" spans="1:22" ht="15" customHeight="1" x14ac:dyDescent="0.2">
      <c r="A75" s="78">
        <v>54</v>
      </c>
      <c r="B75" s="88" t="s">
        <v>358</v>
      </c>
      <c r="C75" s="89" t="s">
        <v>348</v>
      </c>
      <c r="D75" s="89" t="s">
        <v>319</v>
      </c>
      <c r="E75" s="89" t="s">
        <v>350</v>
      </c>
      <c r="F75" s="89" t="s">
        <v>227</v>
      </c>
      <c r="G75" s="90">
        <v>11.21</v>
      </c>
      <c r="H75" s="90"/>
      <c r="I75" s="90"/>
      <c r="J75" s="78" t="s">
        <v>307</v>
      </c>
      <c r="K75" s="90">
        <v>5</v>
      </c>
      <c r="L75" s="38">
        <f>VLOOKUP(K75,Reinigungstage!A10:C31,3,FALSE)</f>
        <v>196</v>
      </c>
      <c r="M75" s="38">
        <f t="shared" si="9"/>
        <v>2197.16</v>
      </c>
      <c r="N75" s="92">
        <f t="shared" si="10"/>
        <v>0</v>
      </c>
      <c r="O75" s="38">
        <f ca="1">IF('SVS UnterhaltsRG'!H61="",0,'SVS UnterhaltsRG'!H61)</f>
        <v>0</v>
      </c>
      <c r="P75" s="38">
        <f t="shared" si="11"/>
        <v>0</v>
      </c>
      <c r="Q75" s="38">
        <f t="shared" ca="1" si="12"/>
        <v>0</v>
      </c>
      <c r="R75" s="38">
        <f t="shared" si="13"/>
        <v>0</v>
      </c>
      <c r="S75" s="38">
        <f t="shared" ca="1" si="14"/>
        <v>0</v>
      </c>
      <c r="T75" s="16" t="str">
        <f t="shared" si="15"/>
        <v>Leistungswert eintragen</v>
      </c>
      <c r="U75" s="16">
        <f t="shared" si="16"/>
        <v>165</v>
      </c>
      <c r="V75" s="16">
        <f t="shared" si="17"/>
        <v>0</v>
      </c>
    </row>
    <row r="76" spans="1:22" ht="35.1" customHeight="1" x14ac:dyDescent="0.2">
      <c r="A76" s="78">
        <v>55</v>
      </c>
      <c r="B76" s="88">
        <v>113</v>
      </c>
      <c r="C76" s="89" t="s">
        <v>276</v>
      </c>
      <c r="D76" s="177" t="s">
        <v>424</v>
      </c>
      <c r="E76" s="89" t="s">
        <v>277</v>
      </c>
      <c r="F76" s="89" t="s">
        <v>227</v>
      </c>
      <c r="G76" s="90">
        <v>109.15</v>
      </c>
      <c r="H76" s="90"/>
      <c r="I76" s="90"/>
      <c r="J76" s="78" t="s">
        <v>313</v>
      </c>
      <c r="K76" s="90">
        <v>5</v>
      </c>
      <c r="L76" s="38">
        <f>VLOOKUP(K76,Reinigungstage!A10:C31,3,FALSE)</f>
        <v>196</v>
      </c>
      <c r="M76" s="38">
        <f t="shared" si="9"/>
        <v>21393.4</v>
      </c>
      <c r="N76" s="92">
        <f t="shared" si="10"/>
        <v>0</v>
      </c>
      <c r="O76" s="38">
        <f ca="1">IF('SVS UnterhaltsRG'!$M$27="",0,'SVS UnterhaltsRG'!$M$27)</f>
        <v>0</v>
      </c>
      <c r="P76" s="38">
        <f t="shared" si="11"/>
        <v>0</v>
      </c>
      <c r="Q76" s="38">
        <f t="shared" ca="1" si="12"/>
        <v>0</v>
      </c>
      <c r="R76" s="38">
        <f t="shared" si="13"/>
        <v>0</v>
      </c>
      <c r="S76" s="38">
        <f t="shared" ca="1" si="14"/>
        <v>0</v>
      </c>
      <c r="T76" s="16" t="str">
        <f t="shared" si="15"/>
        <v>Leistungswert eintragen</v>
      </c>
      <c r="U76" s="16">
        <f t="shared" si="16"/>
        <v>450</v>
      </c>
      <c r="V76" s="16">
        <f t="shared" si="17"/>
        <v>0</v>
      </c>
    </row>
    <row r="77" spans="1:22" ht="35.1" customHeight="1" x14ac:dyDescent="0.2">
      <c r="A77" s="78">
        <v>56</v>
      </c>
      <c r="B77" s="88">
        <v>114</v>
      </c>
      <c r="C77" s="89" t="s">
        <v>276</v>
      </c>
      <c r="D77" s="177" t="s">
        <v>424</v>
      </c>
      <c r="E77" s="89" t="s">
        <v>360</v>
      </c>
      <c r="F77" s="89" t="s">
        <v>227</v>
      </c>
      <c r="G77" s="90">
        <v>9</v>
      </c>
      <c r="H77" s="90"/>
      <c r="I77" s="90"/>
      <c r="J77" s="78" t="s">
        <v>316</v>
      </c>
      <c r="K77" s="90">
        <v>5</v>
      </c>
      <c r="L77" s="38">
        <f>VLOOKUP(K77,Reinigungstage!A10:C31,3,FALSE)</f>
        <v>196</v>
      </c>
      <c r="M77" s="38">
        <f t="shared" si="9"/>
        <v>1764</v>
      </c>
      <c r="N77" s="92">
        <f t="shared" si="10"/>
        <v>0</v>
      </c>
      <c r="O77" s="38">
        <f ca="1">IF('SVS UnterhaltsRG'!$M$27="",0,'SVS UnterhaltsRG'!$M$27)</f>
        <v>0</v>
      </c>
      <c r="P77" s="38">
        <f t="shared" si="11"/>
        <v>0</v>
      </c>
      <c r="Q77" s="38">
        <f t="shared" ca="1" si="12"/>
        <v>0</v>
      </c>
      <c r="R77" s="38">
        <f t="shared" si="13"/>
        <v>0</v>
      </c>
      <c r="S77" s="38">
        <f t="shared" ca="1" si="14"/>
        <v>0</v>
      </c>
      <c r="T77" s="16" t="str">
        <f t="shared" si="15"/>
        <v>Leistungswert eintragen</v>
      </c>
      <c r="U77" s="16">
        <f t="shared" si="16"/>
        <v>220</v>
      </c>
      <c r="V77" s="16">
        <f t="shared" si="17"/>
        <v>0</v>
      </c>
    </row>
    <row r="78" spans="1:22" ht="35.1" customHeight="1" x14ac:dyDescent="0.2">
      <c r="A78" s="78">
        <v>57</v>
      </c>
      <c r="B78" s="88" t="s">
        <v>361</v>
      </c>
      <c r="C78" s="89" t="s">
        <v>276</v>
      </c>
      <c r="D78" s="177" t="s">
        <v>424</v>
      </c>
      <c r="E78" s="89" t="s">
        <v>362</v>
      </c>
      <c r="F78" s="89" t="s">
        <v>227</v>
      </c>
      <c r="G78" s="90">
        <v>2.85</v>
      </c>
      <c r="H78" s="90"/>
      <c r="I78" s="90"/>
      <c r="J78" s="78" t="s">
        <v>310</v>
      </c>
      <c r="K78" s="90">
        <v>0</v>
      </c>
      <c r="L78" s="38">
        <f>VLOOKUP(K78,Reinigungstage!A10:C31,3,FALSE)</f>
        <v>0</v>
      </c>
      <c r="M78" s="38">
        <f t="shared" si="9"/>
        <v>0</v>
      </c>
      <c r="N78" s="92">
        <f t="shared" si="10"/>
        <v>0</v>
      </c>
      <c r="O78" s="38">
        <f ca="1">IF('SVS UnterhaltsRG'!$M$27="",0,'SVS UnterhaltsRG'!$M$27)</f>
        <v>0</v>
      </c>
      <c r="P78" s="38">
        <f t="shared" si="11"/>
        <v>0</v>
      </c>
      <c r="Q78" s="38">
        <f t="shared" si="12"/>
        <v>0</v>
      </c>
      <c r="R78" s="38">
        <f t="shared" si="13"/>
        <v>0</v>
      </c>
      <c r="S78" s="38">
        <f t="shared" si="14"/>
        <v>0</v>
      </c>
      <c r="T78" s="16" t="str">
        <f t="shared" si="15"/>
        <v/>
      </c>
      <c r="U78" s="16">
        <f t="shared" si="16"/>
        <v>300</v>
      </c>
      <c r="V78" s="16">
        <f t="shared" si="17"/>
        <v>0</v>
      </c>
    </row>
    <row r="79" spans="1:22" ht="35.1" customHeight="1" x14ac:dyDescent="0.2">
      <c r="A79" s="78">
        <v>58</v>
      </c>
      <c r="B79" s="88">
        <v>115</v>
      </c>
      <c r="C79" s="89" t="s">
        <v>276</v>
      </c>
      <c r="D79" s="177" t="s">
        <v>424</v>
      </c>
      <c r="E79" s="89" t="s">
        <v>236</v>
      </c>
      <c r="F79" s="89" t="s">
        <v>227</v>
      </c>
      <c r="G79" s="90">
        <v>4.92</v>
      </c>
      <c r="H79" s="90"/>
      <c r="I79" s="90"/>
      <c r="J79" s="78" t="s">
        <v>312</v>
      </c>
      <c r="K79" s="90">
        <v>5</v>
      </c>
      <c r="L79" s="38">
        <f>VLOOKUP(K79,Reinigungstage!A10:C31,3,FALSE)</f>
        <v>196</v>
      </c>
      <c r="M79" s="38">
        <f t="shared" si="9"/>
        <v>964.32</v>
      </c>
      <c r="N79" s="92">
        <f t="shared" si="10"/>
        <v>0</v>
      </c>
      <c r="O79" s="38">
        <f ca="1">IF('SVS UnterhaltsRG'!$M$27="",0,'SVS UnterhaltsRG'!$M$27)</f>
        <v>0</v>
      </c>
      <c r="P79" s="38">
        <f t="shared" si="11"/>
        <v>0</v>
      </c>
      <c r="Q79" s="38">
        <f t="shared" ca="1" si="12"/>
        <v>0</v>
      </c>
      <c r="R79" s="38">
        <f t="shared" si="13"/>
        <v>0</v>
      </c>
      <c r="S79" s="38">
        <f t="shared" ca="1" si="14"/>
        <v>0</v>
      </c>
      <c r="T79" s="16" t="str">
        <f t="shared" si="15"/>
        <v>Leistungswert eintragen</v>
      </c>
      <c r="U79" s="16">
        <f t="shared" si="16"/>
        <v>75</v>
      </c>
      <c r="V79" s="16">
        <f t="shared" si="17"/>
        <v>0</v>
      </c>
    </row>
    <row r="80" spans="1:22" ht="35.1" customHeight="1" x14ac:dyDescent="0.2">
      <c r="A80" s="78">
        <v>59</v>
      </c>
      <c r="B80" s="88">
        <v>116</v>
      </c>
      <c r="C80" s="89" t="s">
        <v>276</v>
      </c>
      <c r="D80" s="177" t="s">
        <v>424</v>
      </c>
      <c r="E80" s="89" t="s">
        <v>296</v>
      </c>
      <c r="F80" s="89" t="s">
        <v>229</v>
      </c>
      <c r="G80" s="90">
        <v>65.790000000000006</v>
      </c>
      <c r="H80" s="90"/>
      <c r="I80" s="90"/>
      <c r="J80" s="78" t="s">
        <v>310</v>
      </c>
      <c r="K80" s="78" t="s">
        <v>154</v>
      </c>
      <c r="L80" s="38">
        <f>VLOOKUP(K80,Reinigungstage!A10:C31,3,FALSE)</f>
        <v>11</v>
      </c>
      <c r="M80" s="38">
        <f t="shared" si="9"/>
        <v>723.69</v>
      </c>
      <c r="N80" s="92">
        <f t="shared" si="10"/>
        <v>0</v>
      </c>
      <c r="O80" s="38">
        <f ca="1">IF('SVS UnterhaltsRG'!$M$27="",0,'SVS UnterhaltsRG'!$M$27)</f>
        <v>0</v>
      </c>
      <c r="P80" s="38">
        <f t="shared" si="11"/>
        <v>0</v>
      </c>
      <c r="Q80" s="38">
        <f t="shared" ca="1" si="12"/>
        <v>0</v>
      </c>
      <c r="R80" s="38">
        <f t="shared" si="13"/>
        <v>0</v>
      </c>
      <c r="S80" s="38">
        <f t="shared" ca="1" si="14"/>
        <v>0</v>
      </c>
      <c r="T80" s="16" t="str">
        <f t="shared" si="15"/>
        <v>Leistungswert eintragen</v>
      </c>
      <c r="U80" s="16">
        <f t="shared" si="16"/>
        <v>300</v>
      </c>
      <c r="V80" s="16">
        <f t="shared" si="17"/>
        <v>0</v>
      </c>
    </row>
    <row r="81" spans="1:22" ht="35.1" customHeight="1" x14ac:dyDescent="0.2">
      <c r="A81" s="78">
        <v>60</v>
      </c>
      <c r="B81" s="88">
        <v>117</v>
      </c>
      <c r="C81" s="89" t="s">
        <v>276</v>
      </c>
      <c r="D81" s="177" t="s">
        <v>424</v>
      </c>
      <c r="E81" s="89" t="s">
        <v>296</v>
      </c>
      <c r="F81" s="89" t="s">
        <v>229</v>
      </c>
      <c r="G81" s="90">
        <v>18.78</v>
      </c>
      <c r="H81" s="90"/>
      <c r="I81" s="90"/>
      <c r="J81" s="78" t="s">
        <v>310</v>
      </c>
      <c r="K81" s="78" t="s">
        <v>154</v>
      </c>
      <c r="L81" s="38">
        <f>VLOOKUP(K81,Reinigungstage!A10:C31,3,FALSE)</f>
        <v>11</v>
      </c>
      <c r="M81" s="38">
        <f t="shared" si="9"/>
        <v>206.58</v>
      </c>
      <c r="N81" s="92">
        <f t="shared" si="10"/>
        <v>0</v>
      </c>
      <c r="O81" s="38">
        <f ca="1">IF('SVS UnterhaltsRG'!$M$27="",0,'SVS UnterhaltsRG'!$M$27)</f>
        <v>0</v>
      </c>
      <c r="P81" s="38">
        <f t="shared" si="11"/>
        <v>0</v>
      </c>
      <c r="Q81" s="38">
        <f t="shared" ca="1" si="12"/>
        <v>0</v>
      </c>
      <c r="R81" s="38">
        <f t="shared" si="13"/>
        <v>0</v>
      </c>
      <c r="S81" s="38">
        <f t="shared" ca="1" si="14"/>
        <v>0</v>
      </c>
      <c r="T81" s="16" t="str">
        <f t="shared" si="15"/>
        <v>Leistungswert eintragen</v>
      </c>
      <c r="U81" s="16">
        <f t="shared" si="16"/>
        <v>300</v>
      </c>
      <c r="V81" s="16">
        <f t="shared" si="17"/>
        <v>0</v>
      </c>
    </row>
    <row r="82" spans="1:22" ht="35.1" customHeight="1" x14ac:dyDescent="0.2">
      <c r="A82" s="78">
        <v>61</v>
      </c>
      <c r="B82" s="88">
        <v>118</v>
      </c>
      <c r="C82" s="89" t="s">
        <v>276</v>
      </c>
      <c r="D82" s="177" t="s">
        <v>424</v>
      </c>
      <c r="E82" s="89" t="s">
        <v>363</v>
      </c>
      <c r="F82" s="89" t="s">
        <v>229</v>
      </c>
      <c r="G82" s="90">
        <v>406.95</v>
      </c>
      <c r="H82" s="90"/>
      <c r="I82" s="90"/>
      <c r="J82" s="78" t="s">
        <v>317</v>
      </c>
      <c r="K82" s="90">
        <v>5</v>
      </c>
      <c r="L82" s="38">
        <f>VLOOKUP(K82,Reinigungstage!A10:C31,3,FALSE)</f>
        <v>196</v>
      </c>
      <c r="M82" s="38">
        <f t="shared" si="9"/>
        <v>79762.2</v>
      </c>
      <c r="N82" s="92">
        <f t="shared" si="10"/>
        <v>0</v>
      </c>
      <c r="O82" s="38">
        <f ca="1">IF('SVS UnterhaltsRG'!$M$27="",0,'SVS UnterhaltsRG'!$M$27)</f>
        <v>0</v>
      </c>
      <c r="P82" s="38">
        <f t="shared" si="11"/>
        <v>0</v>
      </c>
      <c r="Q82" s="38">
        <f t="shared" ca="1" si="12"/>
        <v>0</v>
      </c>
      <c r="R82" s="38">
        <f t="shared" si="13"/>
        <v>0</v>
      </c>
      <c r="S82" s="38">
        <f t="shared" ca="1" si="14"/>
        <v>0</v>
      </c>
      <c r="T82" s="16" t="str">
        <f t="shared" si="15"/>
        <v>Leistungswert eintragen</v>
      </c>
      <c r="U82" s="16">
        <f t="shared" si="16"/>
        <v>450</v>
      </c>
      <c r="V82" s="16">
        <f t="shared" si="17"/>
        <v>0</v>
      </c>
    </row>
    <row r="83" spans="1:22" ht="15" customHeight="1" x14ac:dyDescent="0.2">
      <c r="A83" s="78">
        <v>62</v>
      </c>
      <c r="B83" s="95">
        <v>1</v>
      </c>
      <c r="C83" s="89" t="s">
        <v>276</v>
      </c>
      <c r="D83" s="89" t="s">
        <v>364</v>
      </c>
      <c r="E83" s="89" t="s">
        <v>321</v>
      </c>
      <c r="F83" s="89" t="s">
        <v>227</v>
      </c>
      <c r="G83" s="90">
        <v>60.34</v>
      </c>
      <c r="H83" s="90"/>
      <c r="I83" s="90"/>
      <c r="J83" s="78" t="s">
        <v>313</v>
      </c>
      <c r="K83" s="90">
        <v>5</v>
      </c>
      <c r="L83" s="38">
        <f>VLOOKUP(K83,Reinigungstage!A10:C31,3,FALSE)</f>
        <v>196</v>
      </c>
      <c r="M83" s="38">
        <f t="shared" si="9"/>
        <v>11826.64</v>
      </c>
      <c r="N83" s="92">
        <f t="shared" si="10"/>
        <v>0</v>
      </c>
      <c r="O83" s="38">
        <f ca="1">IF('SVS UnterhaltsRG'!H61="",0,'SVS UnterhaltsRG'!H61)</f>
        <v>0</v>
      </c>
      <c r="P83" s="38">
        <f t="shared" si="11"/>
        <v>0</v>
      </c>
      <c r="Q83" s="38">
        <f t="shared" ca="1" si="12"/>
        <v>0</v>
      </c>
      <c r="R83" s="38">
        <f t="shared" si="13"/>
        <v>0</v>
      </c>
      <c r="S83" s="38">
        <f t="shared" ca="1" si="14"/>
        <v>0</v>
      </c>
      <c r="T83" s="16" t="str">
        <f t="shared" si="15"/>
        <v>Leistungswert eintragen</v>
      </c>
      <c r="U83" s="16">
        <f t="shared" si="16"/>
        <v>450</v>
      </c>
      <c r="V83" s="16">
        <f t="shared" si="17"/>
        <v>0</v>
      </c>
    </row>
    <row r="84" spans="1:22" ht="15" customHeight="1" x14ac:dyDescent="0.2">
      <c r="A84" s="78">
        <v>63</v>
      </c>
      <c r="B84" s="78" t="s">
        <v>365</v>
      </c>
      <c r="C84" s="89" t="s">
        <v>276</v>
      </c>
      <c r="D84" s="89" t="s">
        <v>364</v>
      </c>
      <c r="E84" s="89" t="s">
        <v>336</v>
      </c>
      <c r="F84" s="89" t="s">
        <v>227</v>
      </c>
      <c r="G84" s="90">
        <v>4.2</v>
      </c>
      <c r="H84" s="90"/>
      <c r="I84" s="90"/>
      <c r="J84" s="78" t="s">
        <v>310</v>
      </c>
      <c r="K84" s="90">
        <v>0</v>
      </c>
      <c r="L84" s="38">
        <f>VLOOKUP(K84,Reinigungstage!A10:C31,3,FALSE)</f>
        <v>0</v>
      </c>
      <c r="M84" s="38">
        <f t="shared" si="9"/>
        <v>0</v>
      </c>
      <c r="N84" s="92">
        <f t="shared" si="10"/>
        <v>0</v>
      </c>
      <c r="O84" s="38">
        <f ca="1">IF('SVS UnterhaltsRG'!H61="",0,'SVS UnterhaltsRG'!H61)</f>
        <v>0</v>
      </c>
      <c r="P84" s="38">
        <f t="shared" si="11"/>
        <v>0</v>
      </c>
      <c r="Q84" s="38">
        <f t="shared" si="12"/>
        <v>0</v>
      </c>
      <c r="R84" s="38">
        <f t="shared" si="13"/>
        <v>0</v>
      </c>
      <c r="S84" s="38">
        <f t="shared" si="14"/>
        <v>0</v>
      </c>
      <c r="T84" s="16" t="str">
        <f t="shared" si="15"/>
        <v/>
      </c>
      <c r="U84" s="16">
        <f t="shared" si="16"/>
        <v>300</v>
      </c>
      <c r="V84" s="16">
        <f t="shared" si="17"/>
        <v>0</v>
      </c>
    </row>
    <row r="85" spans="1:22" ht="15" customHeight="1" x14ac:dyDescent="0.2">
      <c r="A85" s="78">
        <v>64</v>
      </c>
      <c r="B85" s="95">
        <v>2</v>
      </c>
      <c r="C85" s="89" t="s">
        <v>276</v>
      </c>
      <c r="D85" s="89" t="s">
        <v>364</v>
      </c>
      <c r="E85" s="89" t="s">
        <v>314</v>
      </c>
      <c r="F85" s="89" t="s">
        <v>229</v>
      </c>
      <c r="G85" s="90">
        <v>8</v>
      </c>
      <c r="H85" s="90"/>
      <c r="I85" s="90"/>
      <c r="J85" s="78" t="s">
        <v>314</v>
      </c>
      <c r="K85" s="90">
        <v>1</v>
      </c>
      <c r="L85" s="38">
        <f>VLOOKUP(K85,Reinigungstage!A10:C31,3,FALSE)</f>
        <v>40.71</v>
      </c>
      <c r="M85" s="38">
        <f t="shared" si="9"/>
        <v>325.68</v>
      </c>
      <c r="N85" s="92">
        <f t="shared" si="10"/>
        <v>0</v>
      </c>
      <c r="O85" s="38">
        <f ca="1">IF('SVS UnterhaltsRG'!H61="",0,'SVS UnterhaltsRG'!H61)</f>
        <v>0</v>
      </c>
      <c r="P85" s="38">
        <f t="shared" si="11"/>
        <v>0</v>
      </c>
      <c r="Q85" s="38">
        <f t="shared" ca="1" si="12"/>
        <v>0</v>
      </c>
      <c r="R85" s="38">
        <f t="shared" si="13"/>
        <v>0</v>
      </c>
      <c r="S85" s="38">
        <f t="shared" ca="1" si="14"/>
        <v>0</v>
      </c>
      <c r="T85" s="16" t="str">
        <f t="shared" si="15"/>
        <v>Leistungswert eintragen</v>
      </c>
      <c r="U85" s="16">
        <f t="shared" si="16"/>
        <v>195</v>
      </c>
      <c r="V85" s="16">
        <f t="shared" si="17"/>
        <v>0</v>
      </c>
    </row>
    <row r="86" spans="1:22" ht="15" customHeight="1" x14ac:dyDescent="0.2">
      <c r="A86" s="78">
        <v>65</v>
      </c>
      <c r="B86" s="95">
        <v>3</v>
      </c>
      <c r="C86" s="89" t="s">
        <v>276</v>
      </c>
      <c r="D86" s="89" t="s">
        <v>364</v>
      </c>
      <c r="E86" s="89" t="s">
        <v>314</v>
      </c>
      <c r="F86" s="89" t="s">
        <v>229</v>
      </c>
      <c r="G86" s="90">
        <v>8.35</v>
      </c>
      <c r="H86" s="90"/>
      <c r="I86" s="90"/>
      <c r="J86" s="78" t="s">
        <v>314</v>
      </c>
      <c r="K86" s="90">
        <v>1</v>
      </c>
      <c r="L86" s="38">
        <f>VLOOKUP(K86,Reinigungstage!A10:C31,3,FALSE)</f>
        <v>40.71</v>
      </c>
      <c r="M86" s="38">
        <f t="shared" ref="M86:M117" si="18">ROUND(IF(L86=0,0,L86*G86),2)</f>
        <v>339.93</v>
      </c>
      <c r="N86" s="92">
        <f t="shared" ref="N86:N120" si="19">VLOOKUP(J86,$G$4:$H$13,2,FALSE)</f>
        <v>0</v>
      </c>
      <c r="O86" s="38">
        <f ca="1">IF('SVS UnterhaltsRG'!H61="",0,'SVS UnterhaltsRG'!H61)</f>
        <v>0</v>
      </c>
      <c r="P86" s="38">
        <f t="shared" ref="P86:P120" si="20">ROUND(IF(N86=0,0,M86/N86),2)</f>
        <v>0</v>
      </c>
      <c r="Q86" s="38">
        <f t="shared" ref="Q86:Q117" ca="1" si="21">IF(M86=0,0,IF(O86="",0,ROUND(P86*O86,2)))</f>
        <v>0</v>
      </c>
      <c r="R86" s="38">
        <f t="shared" ref="R86:R120" si="22">ROUND(IF(P86=0,0,P86/L86),2)</f>
        <v>0</v>
      </c>
      <c r="S86" s="38">
        <f t="shared" ref="S86:S120" ca="1" si="23">ROUND(IF(Q86=0,0,Q86/L86),2)</f>
        <v>0</v>
      </c>
      <c r="T86" s="16" t="str">
        <f t="shared" ref="T86:T120" si="24">IF(M86=0,"",IF(N86=0,"Leistungswert eintragen",IF(O86=0,"SVS prüfen","")))</f>
        <v>Leistungswert eintragen</v>
      </c>
      <c r="U86" s="16">
        <f t="shared" ref="U86:U120" si="25">VLOOKUP(J86,$U$4:$V$13,2,FALSE)</f>
        <v>195</v>
      </c>
      <c r="V86" s="16">
        <f t="shared" ref="V86:V117" si="26">IF(M86=0,0,IF(U86&lt;N86,1,IF(U86&gt;=N86,0,"")))</f>
        <v>0</v>
      </c>
    </row>
    <row r="87" spans="1:22" ht="15" customHeight="1" x14ac:dyDescent="0.2">
      <c r="A87" s="78">
        <v>66</v>
      </c>
      <c r="B87" s="95">
        <v>4</v>
      </c>
      <c r="C87" s="89" t="s">
        <v>276</v>
      </c>
      <c r="D87" s="89" t="s">
        <v>364</v>
      </c>
      <c r="E87" s="89" t="s">
        <v>321</v>
      </c>
      <c r="F87" s="89" t="s">
        <v>229</v>
      </c>
      <c r="G87" s="90">
        <v>42.07</v>
      </c>
      <c r="H87" s="90"/>
      <c r="I87" s="90"/>
      <c r="J87" s="78" t="s">
        <v>313</v>
      </c>
      <c r="K87" s="90">
        <v>5</v>
      </c>
      <c r="L87" s="38">
        <f>VLOOKUP(K87,Reinigungstage!A10:C31,3,FALSE)</f>
        <v>196</v>
      </c>
      <c r="M87" s="38">
        <f t="shared" si="18"/>
        <v>8245.7199999999993</v>
      </c>
      <c r="N87" s="92">
        <f t="shared" si="19"/>
        <v>0</v>
      </c>
      <c r="O87" s="38">
        <f ca="1">IF('SVS UnterhaltsRG'!H61="",0,'SVS UnterhaltsRG'!H61)</f>
        <v>0</v>
      </c>
      <c r="P87" s="38">
        <f t="shared" si="20"/>
        <v>0</v>
      </c>
      <c r="Q87" s="38">
        <f t="shared" ca="1" si="21"/>
        <v>0</v>
      </c>
      <c r="R87" s="38">
        <f t="shared" si="22"/>
        <v>0</v>
      </c>
      <c r="S87" s="38">
        <f t="shared" ca="1" si="23"/>
        <v>0</v>
      </c>
      <c r="T87" s="16" t="str">
        <f t="shared" si="24"/>
        <v>Leistungswert eintragen</v>
      </c>
      <c r="U87" s="16">
        <f t="shared" si="25"/>
        <v>450</v>
      </c>
      <c r="V87" s="16">
        <f t="shared" si="26"/>
        <v>0</v>
      </c>
    </row>
    <row r="88" spans="1:22" ht="15" customHeight="1" x14ac:dyDescent="0.2">
      <c r="A88" s="78">
        <v>67</v>
      </c>
      <c r="B88" s="95">
        <v>5</v>
      </c>
      <c r="C88" s="89" t="s">
        <v>276</v>
      </c>
      <c r="D88" s="89" t="s">
        <v>364</v>
      </c>
      <c r="E88" s="89" t="s">
        <v>366</v>
      </c>
      <c r="F88" s="89" t="s">
        <v>227</v>
      </c>
      <c r="G88" s="90">
        <v>4.09</v>
      </c>
      <c r="H88" s="90"/>
      <c r="I88" s="90"/>
      <c r="J88" s="78" t="s">
        <v>312</v>
      </c>
      <c r="K88" s="90">
        <v>5</v>
      </c>
      <c r="L88" s="38">
        <f>VLOOKUP(K88,Reinigungstage!A10:C31,3,FALSE)</f>
        <v>196</v>
      </c>
      <c r="M88" s="38">
        <f t="shared" si="18"/>
        <v>801.64</v>
      </c>
      <c r="N88" s="92">
        <f t="shared" si="19"/>
        <v>0</v>
      </c>
      <c r="O88" s="38">
        <f ca="1">IF('SVS UnterhaltsRG'!H61="",0,'SVS UnterhaltsRG'!H61)</f>
        <v>0</v>
      </c>
      <c r="P88" s="38">
        <f t="shared" si="20"/>
        <v>0</v>
      </c>
      <c r="Q88" s="38">
        <f t="shared" ca="1" si="21"/>
        <v>0</v>
      </c>
      <c r="R88" s="38">
        <f t="shared" si="22"/>
        <v>0</v>
      </c>
      <c r="S88" s="38">
        <f t="shared" ca="1" si="23"/>
        <v>0</v>
      </c>
      <c r="T88" s="16" t="str">
        <f t="shared" si="24"/>
        <v>Leistungswert eintragen</v>
      </c>
      <c r="U88" s="16">
        <f t="shared" si="25"/>
        <v>75</v>
      </c>
      <c r="V88" s="16">
        <f t="shared" si="26"/>
        <v>0</v>
      </c>
    </row>
    <row r="89" spans="1:22" ht="15" customHeight="1" x14ac:dyDescent="0.2">
      <c r="A89" s="78">
        <v>68</v>
      </c>
      <c r="B89" s="95">
        <v>6</v>
      </c>
      <c r="C89" s="89" t="s">
        <v>276</v>
      </c>
      <c r="D89" s="89" t="s">
        <v>364</v>
      </c>
      <c r="E89" s="89" t="s">
        <v>235</v>
      </c>
      <c r="F89" s="89" t="s">
        <v>227</v>
      </c>
      <c r="G89" s="90">
        <v>8.1300000000000008</v>
      </c>
      <c r="H89" s="90"/>
      <c r="I89" s="90"/>
      <c r="J89" s="78" t="s">
        <v>312</v>
      </c>
      <c r="K89" s="90">
        <v>5</v>
      </c>
      <c r="L89" s="38">
        <f>VLOOKUP(K89,Reinigungstage!A10:C31,3,FALSE)</f>
        <v>196</v>
      </c>
      <c r="M89" s="38">
        <f t="shared" si="18"/>
        <v>1593.48</v>
      </c>
      <c r="N89" s="92">
        <f t="shared" si="19"/>
        <v>0</v>
      </c>
      <c r="O89" s="38">
        <f ca="1">IF('SVS UnterhaltsRG'!H61="",0,'SVS UnterhaltsRG'!H61)</f>
        <v>0</v>
      </c>
      <c r="P89" s="38">
        <f t="shared" si="20"/>
        <v>0</v>
      </c>
      <c r="Q89" s="38">
        <f t="shared" ca="1" si="21"/>
        <v>0</v>
      </c>
      <c r="R89" s="38">
        <f t="shared" si="22"/>
        <v>0</v>
      </c>
      <c r="S89" s="38">
        <f t="shared" ca="1" si="23"/>
        <v>0</v>
      </c>
      <c r="T89" s="16" t="str">
        <f t="shared" si="24"/>
        <v>Leistungswert eintragen</v>
      </c>
      <c r="U89" s="16">
        <f t="shared" si="25"/>
        <v>75</v>
      </c>
      <c r="V89" s="16">
        <f t="shared" si="26"/>
        <v>0</v>
      </c>
    </row>
    <row r="90" spans="1:22" ht="15" customHeight="1" x14ac:dyDescent="0.2">
      <c r="A90" s="78">
        <v>69</v>
      </c>
      <c r="B90" s="95">
        <v>7</v>
      </c>
      <c r="C90" s="89" t="s">
        <v>276</v>
      </c>
      <c r="D90" s="89" t="s">
        <v>364</v>
      </c>
      <c r="E90" s="89" t="s">
        <v>367</v>
      </c>
      <c r="F90" s="89" t="s">
        <v>227</v>
      </c>
      <c r="G90" s="90">
        <v>3.4</v>
      </c>
      <c r="H90" s="90"/>
      <c r="I90" s="90"/>
      <c r="J90" s="78" t="s">
        <v>312</v>
      </c>
      <c r="K90" s="90">
        <v>5</v>
      </c>
      <c r="L90" s="38">
        <f>VLOOKUP(K90,Reinigungstage!A10:C31,3,FALSE)</f>
        <v>196</v>
      </c>
      <c r="M90" s="38">
        <f t="shared" si="18"/>
        <v>666.4</v>
      </c>
      <c r="N90" s="92">
        <f t="shared" si="19"/>
        <v>0</v>
      </c>
      <c r="O90" s="38">
        <f ca="1">IF('SVS UnterhaltsRG'!H61="",0,'SVS UnterhaltsRG'!H61)</f>
        <v>0</v>
      </c>
      <c r="P90" s="38">
        <f t="shared" si="20"/>
        <v>0</v>
      </c>
      <c r="Q90" s="38">
        <f t="shared" ca="1" si="21"/>
        <v>0</v>
      </c>
      <c r="R90" s="38">
        <f t="shared" si="22"/>
        <v>0</v>
      </c>
      <c r="S90" s="38">
        <f t="shared" ca="1" si="23"/>
        <v>0</v>
      </c>
      <c r="T90" s="16" t="str">
        <f t="shared" si="24"/>
        <v>Leistungswert eintragen</v>
      </c>
      <c r="U90" s="16">
        <f t="shared" si="25"/>
        <v>75</v>
      </c>
      <c r="V90" s="16">
        <f t="shared" si="26"/>
        <v>0</v>
      </c>
    </row>
    <row r="91" spans="1:22" ht="15" customHeight="1" x14ac:dyDescent="0.2">
      <c r="A91" s="78">
        <v>70</v>
      </c>
      <c r="B91" s="95">
        <v>8</v>
      </c>
      <c r="C91" s="89" t="s">
        <v>276</v>
      </c>
      <c r="D91" s="89" t="s">
        <v>364</v>
      </c>
      <c r="E91" s="89" t="s">
        <v>368</v>
      </c>
      <c r="F91" s="89" t="s">
        <v>227</v>
      </c>
      <c r="G91" s="90">
        <v>6.77</v>
      </c>
      <c r="H91" s="90"/>
      <c r="I91" s="90"/>
      <c r="J91" s="78" t="s">
        <v>312</v>
      </c>
      <c r="K91" s="90">
        <v>5</v>
      </c>
      <c r="L91" s="38">
        <f>VLOOKUP(K91,Reinigungstage!A10:C31,3,FALSE)</f>
        <v>196</v>
      </c>
      <c r="M91" s="38">
        <f t="shared" si="18"/>
        <v>1326.92</v>
      </c>
      <c r="N91" s="92">
        <f t="shared" si="19"/>
        <v>0</v>
      </c>
      <c r="O91" s="38">
        <f ca="1">IF('SVS UnterhaltsRG'!H61="",0,'SVS UnterhaltsRG'!H61)</f>
        <v>0</v>
      </c>
      <c r="P91" s="38">
        <f t="shared" si="20"/>
        <v>0</v>
      </c>
      <c r="Q91" s="38">
        <f t="shared" ca="1" si="21"/>
        <v>0</v>
      </c>
      <c r="R91" s="38">
        <f t="shared" si="22"/>
        <v>0</v>
      </c>
      <c r="S91" s="38">
        <f t="shared" ca="1" si="23"/>
        <v>0</v>
      </c>
      <c r="T91" s="16" t="str">
        <f t="shared" si="24"/>
        <v>Leistungswert eintragen</v>
      </c>
      <c r="U91" s="16">
        <f t="shared" si="25"/>
        <v>75</v>
      </c>
      <c r="V91" s="16">
        <f t="shared" si="26"/>
        <v>0</v>
      </c>
    </row>
    <row r="92" spans="1:22" ht="15" customHeight="1" x14ac:dyDescent="0.2">
      <c r="A92" s="78">
        <v>71</v>
      </c>
      <c r="B92" s="95">
        <v>9</v>
      </c>
      <c r="C92" s="89" t="s">
        <v>276</v>
      </c>
      <c r="D92" s="89" t="s">
        <v>364</v>
      </c>
      <c r="E92" s="89" t="s">
        <v>237</v>
      </c>
      <c r="F92" s="89" t="s">
        <v>227</v>
      </c>
      <c r="G92" s="90">
        <v>9.06</v>
      </c>
      <c r="H92" s="90"/>
      <c r="I92" s="90"/>
      <c r="J92" s="78" t="s">
        <v>312</v>
      </c>
      <c r="K92" s="90">
        <v>5</v>
      </c>
      <c r="L92" s="38">
        <f>VLOOKUP(K92,Reinigungstage!A10:C31,3,FALSE)</f>
        <v>196</v>
      </c>
      <c r="M92" s="38">
        <f t="shared" si="18"/>
        <v>1775.76</v>
      </c>
      <c r="N92" s="92">
        <f t="shared" si="19"/>
        <v>0</v>
      </c>
      <c r="O92" s="38">
        <f ca="1">IF('SVS UnterhaltsRG'!H61="",0,'SVS UnterhaltsRG'!H61)</f>
        <v>0</v>
      </c>
      <c r="P92" s="38">
        <f t="shared" si="20"/>
        <v>0</v>
      </c>
      <c r="Q92" s="38">
        <f t="shared" ca="1" si="21"/>
        <v>0</v>
      </c>
      <c r="R92" s="38">
        <f t="shared" si="22"/>
        <v>0</v>
      </c>
      <c r="S92" s="38">
        <f t="shared" ca="1" si="23"/>
        <v>0</v>
      </c>
      <c r="T92" s="16" t="str">
        <f t="shared" si="24"/>
        <v>Leistungswert eintragen</v>
      </c>
      <c r="U92" s="16">
        <f t="shared" si="25"/>
        <v>75</v>
      </c>
      <c r="V92" s="16">
        <f t="shared" si="26"/>
        <v>0</v>
      </c>
    </row>
    <row r="93" spans="1:22" ht="15" customHeight="1" x14ac:dyDescent="0.2">
      <c r="A93" s="78">
        <v>72</v>
      </c>
      <c r="B93" s="95">
        <v>10</v>
      </c>
      <c r="C93" s="89" t="s">
        <v>276</v>
      </c>
      <c r="D93" s="89" t="s">
        <v>364</v>
      </c>
      <c r="E93" s="89" t="s">
        <v>369</v>
      </c>
      <c r="F93" s="89" t="s">
        <v>229</v>
      </c>
      <c r="G93" s="90">
        <v>11.48</v>
      </c>
      <c r="H93" s="90"/>
      <c r="I93" s="90"/>
      <c r="J93" s="78" t="s">
        <v>315</v>
      </c>
      <c r="K93" s="90">
        <v>5</v>
      </c>
      <c r="L93" s="38">
        <f>VLOOKUP(K93,Reinigungstage!A10:C31,3,FALSE)</f>
        <v>196</v>
      </c>
      <c r="M93" s="38">
        <f t="shared" si="18"/>
        <v>2250.08</v>
      </c>
      <c r="N93" s="92">
        <f t="shared" si="19"/>
        <v>0</v>
      </c>
      <c r="O93" s="38">
        <f ca="1">IF('SVS UnterhaltsRG'!H61="",0,'SVS UnterhaltsRG'!H61)</f>
        <v>0</v>
      </c>
      <c r="P93" s="38">
        <f t="shared" si="20"/>
        <v>0</v>
      </c>
      <c r="Q93" s="38">
        <f t="shared" ca="1" si="21"/>
        <v>0</v>
      </c>
      <c r="R93" s="38">
        <f t="shared" si="22"/>
        <v>0</v>
      </c>
      <c r="S93" s="38">
        <f t="shared" ca="1" si="23"/>
        <v>0</v>
      </c>
      <c r="T93" s="16" t="str">
        <f t="shared" si="24"/>
        <v>Leistungswert eintragen</v>
      </c>
      <c r="U93" s="16">
        <f t="shared" si="25"/>
        <v>115</v>
      </c>
      <c r="V93" s="16">
        <f t="shared" si="26"/>
        <v>0</v>
      </c>
    </row>
    <row r="94" spans="1:22" ht="15" customHeight="1" x14ac:dyDescent="0.2">
      <c r="A94" s="78">
        <v>73</v>
      </c>
      <c r="B94" s="95">
        <v>11</v>
      </c>
      <c r="C94" s="89" t="s">
        <v>276</v>
      </c>
      <c r="D94" s="89" t="s">
        <v>364</v>
      </c>
      <c r="E94" s="89" t="s">
        <v>341</v>
      </c>
      <c r="F94" s="89" t="s">
        <v>229</v>
      </c>
      <c r="G94" s="90">
        <v>5.04</v>
      </c>
      <c r="H94" s="90"/>
      <c r="I94" s="90"/>
      <c r="J94" s="78" t="s">
        <v>313</v>
      </c>
      <c r="K94" s="90">
        <v>5</v>
      </c>
      <c r="L94" s="38">
        <f>VLOOKUP(K94,Reinigungstage!A10:C31,3,FALSE)</f>
        <v>196</v>
      </c>
      <c r="M94" s="38">
        <f t="shared" si="18"/>
        <v>987.84</v>
      </c>
      <c r="N94" s="92">
        <f t="shared" si="19"/>
        <v>0</v>
      </c>
      <c r="O94" s="38">
        <f ca="1">IF('SVS UnterhaltsRG'!H61="",0,'SVS UnterhaltsRG'!H61)</f>
        <v>0</v>
      </c>
      <c r="P94" s="38">
        <f t="shared" si="20"/>
        <v>0</v>
      </c>
      <c r="Q94" s="38">
        <f t="shared" ca="1" si="21"/>
        <v>0</v>
      </c>
      <c r="R94" s="38">
        <f t="shared" si="22"/>
        <v>0</v>
      </c>
      <c r="S94" s="38">
        <f t="shared" ca="1" si="23"/>
        <v>0</v>
      </c>
      <c r="T94" s="16" t="str">
        <f t="shared" si="24"/>
        <v>Leistungswert eintragen</v>
      </c>
      <c r="U94" s="16">
        <f t="shared" si="25"/>
        <v>450</v>
      </c>
      <c r="V94" s="16">
        <f t="shared" si="26"/>
        <v>0</v>
      </c>
    </row>
    <row r="95" spans="1:22" ht="15" customHeight="1" x14ac:dyDescent="0.2">
      <c r="A95" s="78">
        <v>74</v>
      </c>
      <c r="B95" s="78" t="s">
        <v>370</v>
      </c>
      <c r="C95" s="89" t="s">
        <v>276</v>
      </c>
      <c r="D95" s="89" t="s">
        <v>364</v>
      </c>
      <c r="E95" s="89" t="s">
        <v>232</v>
      </c>
      <c r="F95" s="89" t="s">
        <v>229</v>
      </c>
      <c r="G95" s="90">
        <v>15.98</v>
      </c>
      <c r="H95" s="90"/>
      <c r="I95" s="90"/>
      <c r="J95" s="78" t="s">
        <v>311</v>
      </c>
      <c r="K95" s="90">
        <v>5</v>
      </c>
      <c r="L95" s="38">
        <f>VLOOKUP(K95,Reinigungstage!A10:C31,3,FALSE)</f>
        <v>196</v>
      </c>
      <c r="M95" s="38">
        <f t="shared" si="18"/>
        <v>3132.08</v>
      </c>
      <c r="N95" s="92">
        <f t="shared" si="19"/>
        <v>0</v>
      </c>
      <c r="O95" s="38">
        <f ca="1">IF('SVS UnterhaltsRG'!H61="",0,'SVS UnterhaltsRG'!H61)</f>
        <v>0</v>
      </c>
      <c r="P95" s="38">
        <f t="shared" si="20"/>
        <v>0</v>
      </c>
      <c r="Q95" s="38">
        <f t="shared" ca="1" si="21"/>
        <v>0</v>
      </c>
      <c r="R95" s="38">
        <f t="shared" si="22"/>
        <v>0</v>
      </c>
      <c r="S95" s="38">
        <f t="shared" ca="1" si="23"/>
        <v>0</v>
      </c>
      <c r="T95" s="16" t="str">
        <f t="shared" si="24"/>
        <v>Leistungswert eintragen</v>
      </c>
      <c r="U95" s="16">
        <f t="shared" si="25"/>
        <v>170</v>
      </c>
      <c r="V95" s="16">
        <f t="shared" si="26"/>
        <v>0</v>
      </c>
    </row>
    <row r="96" spans="1:22" ht="15" customHeight="1" x14ac:dyDescent="0.2">
      <c r="A96" s="78">
        <v>75</v>
      </c>
      <c r="B96" s="95">
        <v>12</v>
      </c>
      <c r="C96" s="89" t="s">
        <v>276</v>
      </c>
      <c r="D96" s="89" t="s">
        <v>364</v>
      </c>
      <c r="E96" s="89" t="s">
        <v>232</v>
      </c>
      <c r="F96" s="89" t="s">
        <v>229</v>
      </c>
      <c r="G96" s="90">
        <v>42.87</v>
      </c>
      <c r="H96" s="90"/>
      <c r="I96" s="90"/>
      <c r="J96" s="78" t="s">
        <v>311</v>
      </c>
      <c r="K96" s="90">
        <v>5</v>
      </c>
      <c r="L96" s="38">
        <f>VLOOKUP(K96,Reinigungstage!A10:C31,3,FALSE)</f>
        <v>196</v>
      </c>
      <c r="M96" s="38">
        <f t="shared" si="18"/>
        <v>8402.52</v>
      </c>
      <c r="N96" s="92">
        <f t="shared" si="19"/>
        <v>0</v>
      </c>
      <c r="O96" s="38">
        <f ca="1">IF('SVS UnterhaltsRG'!H61="",0,'SVS UnterhaltsRG'!H61)</f>
        <v>0</v>
      </c>
      <c r="P96" s="38">
        <f t="shared" si="20"/>
        <v>0</v>
      </c>
      <c r="Q96" s="38">
        <f t="shared" ca="1" si="21"/>
        <v>0</v>
      </c>
      <c r="R96" s="38">
        <f t="shared" si="22"/>
        <v>0</v>
      </c>
      <c r="S96" s="38">
        <f t="shared" ca="1" si="23"/>
        <v>0</v>
      </c>
      <c r="T96" s="16" t="str">
        <f t="shared" si="24"/>
        <v>Leistungswert eintragen</v>
      </c>
      <c r="U96" s="16">
        <f t="shared" si="25"/>
        <v>170</v>
      </c>
      <c r="V96" s="16">
        <f t="shared" si="26"/>
        <v>0</v>
      </c>
    </row>
    <row r="97" spans="1:22" ht="15" customHeight="1" x14ac:dyDescent="0.2">
      <c r="A97" s="78">
        <v>76</v>
      </c>
      <c r="B97" s="95">
        <v>13</v>
      </c>
      <c r="C97" s="89" t="s">
        <v>276</v>
      </c>
      <c r="D97" s="89" t="s">
        <v>364</v>
      </c>
      <c r="E97" s="89" t="s">
        <v>232</v>
      </c>
      <c r="F97" s="89" t="s">
        <v>229</v>
      </c>
      <c r="G97" s="90">
        <v>42.86</v>
      </c>
      <c r="H97" s="90"/>
      <c r="I97" s="90"/>
      <c r="J97" s="78" t="s">
        <v>311</v>
      </c>
      <c r="K97" s="90">
        <v>5</v>
      </c>
      <c r="L97" s="38">
        <f>VLOOKUP(K97,Reinigungstage!A10:C31,3,FALSE)</f>
        <v>196</v>
      </c>
      <c r="M97" s="38">
        <f t="shared" si="18"/>
        <v>8400.56</v>
      </c>
      <c r="N97" s="92">
        <f t="shared" si="19"/>
        <v>0</v>
      </c>
      <c r="O97" s="38">
        <f ca="1">IF('SVS UnterhaltsRG'!H61="",0,'SVS UnterhaltsRG'!H61)</f>
        <v>0</v>
      </c>
      <c r="P97" s="38">
        <f t="shared" si="20"/>
        <v>0</v>
      </c>
      <c r="Q97" s="38">
        <f t="shared" ca="1" si="21"/>
        <v>0</v>
      </c>
      <c r="R97" s="38">
        <f t="shared" si="22"/>
        <v>0</v>
      </c>
      <c r="S97" s="38">
        <f t="shared" ca="1" si="23"/>
        <v>0</v>
      </c>
      <c r="T97" s="16" t="str">
        <f t="shared" si="24"/>
        <v>Leistungswert eintragen</v>
      </c>
      <c r="U97" s="16">
        <f t="shared" si="25"/>
        <v>170</v>
      </c>
      <c r="V97" s="16">
        <f t="shared" si="26"/>
        <v>0</v>
      </c>
    </row>
    <row r="98" spans="1:22" ht="15" customHeight="1" x14ac:dyDescent="0.2">
      <c r="A98" s="78">
        <v>77</v>
      </c>
      <c r="B98" s="78" t="s">
        <v>371</v>
      </c>
      <c r="C98" s="89" t="s">
        <v>276</v>
      </c>
      <c r="D98" s="89" t="s">
        <v>364</v>
      </c>
      <c r="E98" s="89" t="s">
        <v>232</v>
      </c>
      <c r="F98" s="89" t="s">
        <v>229</v>
      </c>
      <c r="G98" s="90">
        <v>15.99</v>
      </c>
      <c r="H98" s="90"/>
      <c r="I98" s="90"/>
      <c r="J98" s="78" t="s">
        <v>311</v>
      </c>
      <c r="K98" s="90">
        <v>5</v>
      </c>
      <c r="L98" s="38">
        <f>VLOOKUP(K98,Reinigungstage!A10:C31,3,FALSE)</f>
        <v>196</v>
      </c>
      <c r="M98" s="38">
        <f t="shared" si="18"/>
        <v>3134.04</v>
      </c>
      <c r="N98" s="92">
        <f t="shared" si="19"/>
        <v>0</v>
      </c>
      <c r="O98" s="38">
        <f ca="1">IF('SVS UnterhaltsRG'!H61="",0,'SVS UnterhaltsRG'!H61)</f>
        <v>0</v>
      </c>
      <c r="P98" s="38">
        <f t="shared" si="20"/>
        <v>0</v>
      </c>
      <c r="Q98" s="38">
        <f t="shared" ca="1" si="21"/>
        <v>0</v>
      </c>
      <c r="R98" s="38">
        <f t="shared" si="22"/>
        <v>0</v>
      </c>
      <c r="S98" s="38">
        <f t="shared" ca="1" si="23"/>
        <v>0</v>
      </c>
      <c r="T98" s="16" t="str">
        <f t="shared" si="24"/>
        <v>Leistungswert eintragen</v>
      </c>
      <c r="U98" s="16">
        <f t="shared" si="25"/>
        <v>170</v>
      </c>
      <c r="V98" s="16">
        <f t="shared" si="26"/>
        <v>0</v>
      </c>
    </row>
    <row r="99" spans="1:22" ht="15" customHeight="1" x14ac:dyDescent="0.2">
      <c r="A99" s="78">
        <v>78</v>
      </c>
      <c r="B99" s="95">
        <v>14</v>
      </c>
      <c r="C99" s="89" t="s">
        <v>276</v>
      </c>
      <c r="D99" s="89" t="s">
        <v>364</v>
      </c>
      <c r="E99" s="89" t="s">
        <v>341</v>
      </c>
      <c r="F99" s="89" t="s">
        <v>229</v>
      </c>
      <c r="G99" s="90">
        <v>4.7</v>
      </c>
      <c r="H99" s="90"/>
      <c r="I99" s="90"/>
      <c r="J99" s="78" t="s">
        <v>313</v>
      </c>
      <c r="K99" s="90">
        <v>5</v>
      </c>
      <c r="L99" s="38">
        <f>VLOOKUP(K99,Reinigungstage!A10:C31,3,FALSE)</f>
        <v>196</v>
      </c>
      <c r="M99" s="38">
        <f t="shared" si="18"/>
        <v>921.2</v>
      </c>
      <c r="N99" s="92">
        <f t="shared" si="19"/>
        <v>0</v>
      </c>
      <c r="O99" s="38">
        <f ca="1">IF('SVS UnterhaltsRG'!H61="",0,'SVS UnterhaltsRG'!H61)</f>
        <v>0</v>
      </c>
      <c r="P99" s="38">
        <f t="shared" si="20"/>
        <v>0</v>
      </c>
      <c r="Q99" s="38">
        <f t="shared" ca="1" si="21"/>
        <v>0</v>
      </c>
      <c r="R99" s="38">
        <f t="shared" si="22"/>
        <v>0</v>
      </c>
      <c r="S99" s="38">
        <f t="shared" ca="1" si="23"/>
        <v>0</v>
      </c>
      <c r="T99" s="16" t="str">
        <f t="shared" si="24"/>
        <v>Leistungswert eintragen</v>
      </c>
      <c r="U99" s="16">
        <f t="shared" si="25"/>
        <v>450</v>
      </c>
      <c r="V99" s="16">
        <f t="shared" si="26"/>
        <v>0</v>
      </c>
    </row>
    <row r="100" spans="1:22" ht="15" customHeight="1" x14ac:dyDescent="0.2">
      <c r="A100" s="78">
        <v>79</v>
      </c>
      <c r="B100" s="95">
        <v>15</v>
      </c>
      <c r="C100" s="89" t="s">
        <v>276</v>
      </c>
      <c r="D100" s="89" t="s">
        <v>364</v>
      </c>
      <c r="E100" s="89" t="s">
        <v>232</v>
      </c>
      <c r="F100" s="89" t="s">
        <v>229</v>
      </c>
      <c r="G100" s="90">
        <v>42.75</v>
      </c>
      <c r="H100" s="90"/>
      <c r="I100" s="90"/>
      <c r="J100" s="78" t="s">
        <v>311</v>
      </c>
      <c r="K100" s="90">
        <v>5</v>
      </c>
      <c r="L100" s="38">
        <f>VLOOKUP(K100,Reinigungstage!A10:C31,3,FALSE)</f>
        <v>196</v>
      </c>
      <c r="M100" s="38">
        <f t="shared" si="18"/>
        <v>8379</v>
      </c>
      <c r="N100" s="92">
        <f t="shared" si="19"/>
        <v>0</v>
      </c>
      <c r="O100" s="38">
        <f ca="1">IF('SVS UnterhaltsRG'!H61="",0,'SVS UnterhaltsRG'!H61)</f>
        <v>0</v>
      </c>
      <c r="P100" s="38">
        <f t="shared" si="20"/>
        <v>0</v>
      </c>
      <c r="Q100" s="38">
        <f t="shared" ca="1" si="21"/>
        <v>0</v>
      </c>
      <c r="R100" s="38">
        <f t="shared" si="22"/>
        <v>0</v>
      </c>
      <c r="S100" s="38">
        <f t="shared" ca="1" si="23"/>
        <v>0</v>
      </c>
      <c r="T100" s="16" t="str">
        <f t="shared" si="24"/>
        <v>Leistungswert eintragen</v>
      </c>
      <c r="U100" s="16">
        <f t="shared" si="25"/>
        <v>170</v>
      </c>
      <c r="V100" s="16">
        <f t="shared" si="26"/>
        <v>0</v>
      </c>
    </row>
    <row r="101" spans="1:22" ht="15" customHeight="1" x14ac:dyDescent="0.2">
      <c r="A101" s="78">
        <v>80</v>
      </c>
      <c r="B101" s="78" t="s">
        <v>372</v>
      </c>
      <c r="C101" s="89" t="s">
        <v>276</v>
      </c>
      <c r="D101" s="89" t="s">
        <v>364</v>
      </c>
      <c r="E101" s="89" t="s">
        <v>232</v>
      </c>
      <c r="F101" s="89" t="s">
        <v>229</v>
      </c>
      <c r="G101" s="90">
        <v>15.97</v>
      </c>
      <c r="H101" s="90"/>
      <c r="I101" s="90"/>
      <c r="J101" s="78" t="s">
        <v>311</v>
      </c>
      <c r="K101" s="90">
        <v>5</v>
      </c>
      <c r="L101" s="38">
        <f>VLOOKUP(K101,Reinigungstage!A10:C31,3,FALSE)</f>
        <v>196</v>
      </c>
      <c r="M101" s="38">
        <f t="shared" si="18"/>
        <v>3130.12</v>
      </c>
      <c r="N101" s="92">
        <f t="shared" si="19"/>
        <v>0</v>
      </c>
      <c r="O101" s="38">
        <f ca="1">IF('SVS UnterhaltsRG'!H61="",0,'SVS UnterhaltsRG'!H61)</f>
        <v>0</v>
      </c>
      <c r="P101" s="38">
        <f t="shared" si="20"/>
        <v>0</v>
      </c>
      <c r="Q101" s="38">
        <f t="shared" ca="1" si="21"/>
        <v>0</v>
      </c>
      <c r="R101" s="38">
        <f t="shared" si="22"/>
        <v>0</v>
      </c>
      <c r="S101" s="38">
        <f t="shared" ca="1" si="23"/>
        <v>0</v>
      </c>
      <c r="T101" s="16" t="str">
        <f t="shared" si="24"/>
        <v>Leistungswert eintragen</v>
      </c>
      <c r="U101" s="16">
        <f t="shared" si="25"/>
        <v>170</v>
      </c>
      <c r="V101" s="16">
        <f t="shared" si="26"/>
        <v>0</v>
      </c>
    </row>
    <row r="102" spans="1:22" ht="15" customHeight="1" x14ac:dyDescent="0.2">
      <c r="A102" s="78">
        <v>81</v>
      </c>
      <c r="B102" s="95">
        <v>16</v>
      </c>
      <c r="C102" s="89" t="s">
        <v>276</v>
      </c>
      <c r="D102" s="89" t="s">
        <v>364</v>
      </c>
      <c r="E102" s="89" t="s">
        <v>341</v>
      </c>
      <c r="F102" s="89" t="s">
        <v>229</v>
      </c>
      <c r="G102" s="90">
        <v>5.07</v>
      </c>
      <c r="H102" s="90"/>
      <c r="I102" s="90"/>
      <c r="J102" s="78" t="s">
        <v>313</v>
      </c>
      <c r="K102" s="90">
        <v>5</v>
      </c>
      <c r="L102" s="38">
        <f>VLOOKUP(K102,Reinigungstage!A10:C31,3,FALSE)</f>
        <v>196</v>
      </c>
      <c r="M102" s="38">
        <f t="shared" si="18"/>
        <v>993.72</v>
      </c>
      <c r="N102" s="92">
        <f t="shared" si="19"/>
        <v>0</v>
      </c>
      <c r="O102" s="38">
        <f ca="1">IF('SVS UnterhaltsRG'!H61="",0,'SVS UnterhaltsRG'!H61)</f>
        <v>0</v>
      </c>
      <c r="P102" s="38">
        <f t="shared" si="20"/>
        <v>0</v>
      </c>
      <c r="Q102" s="38">
        <f t="shared" ca="1" si="21"/>
        <v>0</v>
      </c>
      <c r="R102" s="38">
        <f t="shared" si="22"/>
        <v>0</v>
      </c>
      <c r="S102" s="38">
        <f t="shared" ca="1" si="23"/>
        <v>0</v>
      </c>
      <c r="T102" s="16" t="str">
        <f t="shared" si="24"/>
        <v>Leistungswert eintragen</v>
      </c>
      <c r="U102" s="16">
        <f t="shared" si="25"/>
        <v>450</v>
      </c>
      <c r="V102" s="16">
        <f t="shared" si="26"/>
        <v>0</v>
      </c>
    </row>
    <row r="103" spans="1:22" ht="15" customHeight="1" x14ac:dyDescent="0.2">
      <c r="A103" s="78">
        <v>82</v>
      </c>
      <c r="B103" s="88">
        <v>101</v>
      </c>
      <c r="C103" s="89" t="s">
        <v>348</v>
      </c>
      <c r="D103" s="89" t="s">
        <v>364</v>
      </c>
      <c r="E103" s="89" t="s">
        <v>277</v>
      </c>
      <c r="F103" s="89" t="s">
        <v>227</v>
      </c>
      <c r="G103" s="90">
        <v>26.18</v>
      </c>
      <c r="H103" s="90"/>
      <c r="I103" s="90"/>
      <c r="J103" s="78" t="s">
        <v>313</v>
      </c>
      <c r="K103" s="90">
        <v>5</v>
      </c>
      <c r="L103" s="38">
        <f>VLOOKUP(K103,Reinigungstage!A10:C31,3,FALSE)</f>
        <v>196</v>
      </c>
      <c r="M103" s="38">
        <f t="shared" si="18"/>
        <v>5131.28</v>
      </c>
      <c r="N103" s="92">
        <f t="shared" si="19"/>
        <v>0</v>
      </c>
      <c r="O103" s="38">
        <f ca="1">IF('SVS UnterhaltsRG'!H61="",0,'SVS UnterhaltsRG'!H61)</f>
        <v>0</v>
      </c>
      <c r="P103" s="38">
        <f t="shared" si="20"/>
        <v>0</v>
      </c>
      <c r="Q103" s="38">
        <f t="shared" ca="1" si="21"/>
        <v>0</v>
      </c>
      <c r="R103" s="38">
        <f t="shared" si="22"/>
        <v>0</v>
      </c>
      <c r="S103" s="38">
        <f t="shared" ca="1" si="23"/>
        <v>0</v>
      </c>
      <c r="T103" s="16" t="str">
        <f t="shared" si="24"/>
        <v>Leistungswert eintragen</v>
      </c>
      <c r="U103" s="16">
        <f t="shared" si="25"/>
        <v>450</v>
      </c>
      <c r="V103" s="16">
        <f t="shared" si="26"/>
        <v>0</v>
      </c>
    </row>
    <row r="104" spans="1:22" ht="15" customHeight="1" x14ac:dyDescent="0.2">
      <c r="A104" s="78">
        <v>83</v>
      </c>
      <c r="B104" s="88">
        <v>102</v>
      </c>
      <c r="C104" s="89" t="s">
        <v>348</v>
      </c>
      <c r="D104" s="89" t="s">
        <v>364</v>
      </c>
      <c r="E104" s="89" t="s">
        <v>321</v>
      </c>
      <c r="F104" s="89" t="s">
        <v>229</v>
      </c>
      <c r="G104" s="90">
        <v>38.78</v>
      </c>
      <c r="H104" s="90"/>
      <c r="I104" s="90"/>
      <c r="J104" s="78" t="s">
        <v>313</v>
      </c>
      <c r="K104" s="90">
        <v>5</v>
      </c>
      <c r="L104" s="38">
        <f>VLOOKUP(K104,Reinigungstage!A10:C31,3,FALSE)</f>
        <v>196</v>
      </c>
      <c r="M104" s="38">
        <f t="shared" si="18"/>
        <v>7600.88</v>
      </c>
      <c r="N104" s="92">
        <f t="shared" si="19"/>
        <v>0</v>
      </c>
      <c r="O104" s="38">
        <f ca="1">IF('SVS UnterhaltsRG'!H61="",0,'SVS UnterhaltsRG'!H61)</f>
        <v>0</v>
      </c>
      <c r="P104" s="38">
        <f t="shared" si="20"/>
        <v>0</v>
      </c>
      <c r="Q104" s="38">
        <f t="shared" ca="1" si="21"/>
        <v>0</v>
      </c>
      <c r="R104" s="38">
        <f t="shared" si="22"/>
        <v>0</v>
      </c>
      <c r="S104" s="38">
        <f t="shared" ca="1" si="23"/>
        <v>0</v>
      </c>
      <c r="T104" s="16" t="str">
        <f t="shared" si="24"/>
        <v>Leistungswert eintragen</v>
      </c>
      <c r="U104" s="16">
        <f t="shared" si="25"/>
        <v>450</v>
      </c>
      <c r="V104" s="16">
        <f t="shared" si="26"/>
        <v>0</v>
      </c>
    </row>
    <row r="105" spans="1:22" ht="15" customHeight="1" x14ac:dyDescent="0.2">
      <c r="A105" s="78">
        <v>84</v>
      </c>
      <c r="B105" s="88">
        <v>103</v>
      </c>
      <c r="C105" s="89" t="s">
        <v>348</v>
      </c>
      <c r="D105" s="89" t="s">
        <v>364</v>
      </c>
      <c r="E105" s="89" t="s">
        <v>314</v>
      </c>
      <c r="F105" s="89" t="s">
        <v>229</v>
      </c>
      <c r="G105" s="90">
        <v>8</v>
      </c>
      <c r="H105" s="90"/>
      <c r="I105" s="90"/>
      <c r="J105" s="78" t="s">
        <v>314</v>
      </c>
      <c r="K105" s="90">
        <v>1</v>
      </c>
      <c r="L105" s="38">
        <f>VLOOKUP(K105,Reinigungstage!A10:C31,3,FALSE)</f>
        <v>40.71</v>
      </c>
      <c r="M105" s="38">
        <f t="shared" si="18"/>
        <v>325.68</v>
      </c>
      <c r="N105" s="92">
        <f t="shared" si="19"/>
        <v>0</v>
      </c>
      <c r="O105" s="38">
        <f ca="1">IF('SVS UnterhaltsRG'!H61="",0,'SVS UnterhaltsRG'!H61)</f>
        <v>0</v>
      </c>
      <c r="P105" s="38">
        <f t="shared" si="20"/>
        <v>0</v>
      </c>
      <c r="Q105" s="38">
        <f t="shared" ca="1" si="21"/>
        <v>0</v>
      </c>
      <c r="R105" s="38">
        <f t="shared" si="22"/>
        <v>0</v>
      </c>
      <c r="S105" s="38">
        <f t="shared" ca="1" si="23"/>
        <v>0</v>
      </c>
      <c r="T105" s="16" t="str">
        <f t="shared" si="24"/>
        <v>Leistungswert eintragen</v>
      </c>
      <c r="U105" s="16">
        <f t="shared" si="25"/>
        <v>195</v>
      </c>
      <c r="V105" s="16">
        <f t="shared" si="26"/>
        <v>0</v>
      </c>
    </row>
    <row r="106" spans="1:22" ht="15" customHeight="1" x14ac:dyDescent="0.2">
      <c r="A106" s="78">
        <v>85</v>
      </c>
      <c r="B106" s="88">
        <v>104</v>
      </c>
      <c r="C106" s="89" t="s">
        <v>348</v>
      </c>
      <c r="D106" s="89" t="s">
        <v>364</v>
      </c>
      <c r="E106" s="89" t="s">
        <v>235</v>
      </c>
      <c r="F106" s="89" t="s">
        <v>227</v>
      </c>
      <c r="G106" s="90">
        <v>8.1300000000000008</v>
      </c>
      <c r="H106" s="90"/>
      <c r="I106" s="90"/>
      <c r="J106" s="78" t="s">
        <v>312</v>
      </c>
      <c r="K106" s="90">
        <v>5</v>
      </c>
      <c r="L106" s="38">
        <f>VLOOKUP(K106,Reinigungstage!A10:C31,3,FALSE)</f>
        <v>196</v>
      </c>
      <c r="M106" s="38">
        <f t="shared" si="18"/>
        <v>1593.48</v>
      </c>
      <c r="N106" s="92">
        <f t="shared" si="19"/>
        <v>0</v>
      </c>
      <c r="O106" s="38">
        <f ca="1">IF('SVS UnterhaltsRG'!H61="",0,'SVS UnterhaltsRG'!H61)</f>
        <v>0</v>
      </c>
      <c r="P106" s="38">
        <f t="shared" si="20"/>
        <v>0</v>
      </c>
      <c r="Q106" s="38">
        <f t="shared" ca="1" si="21"/>
        <v>0</v>
      </c>
      <c r="R106" s="38">
        <f t="shared" si="22"/>
        <v>0</v>
      </c>
      <c r="S106" s="38">
        <f t="shared" ca="1" si="23"/>
        <v>0</v>
      </c>
      <c r="T106" s="16" t="str">
        <f t="shared" si="24"/>
        <v>Leistungswert eintragen</v>
      </c>
      <c r="U106" s="16">
        <f t="shared" si="25"/>
        <v>75</v>
      </c>
      <c r="V106" s="16">
        <f t="shared" si="26"/>
        <v>0</v>
      </c>
    </row>
    <row r="107" spans="1:22" ht="15" customHeight="1" x14ac:dyDescent="0.2">
      <c r="A107" s="78">
        <v>86</v>
      </c>
      <c r="B107" s="88">
        <v>105</v>
      </c>
      <c r="C107" s="89" t="s">
        <v>348</v>
      </c>
      <c r="D107" s="89" t="s">
        <v>364</v>
      </c>
      <c r="E107" s="89" t="s">
        <v>366</v>
      </c>
      <c r="F107" s="89" t="s">
        <v>227</v>
      </c>
      <c r="G107" s="90">
        <v>4.0999999999999996</v>
      </c>
      <c r="H107" s="90"/>
      <c r="I107" s="90"/>
      <c r="J107" s="78" t="s">
        <v>312</v>
      </c>
      <c r="K107" s="90">
        <v>5</v>
      </c>
      <c r="L107" s="38">
        <f>VLOOKUP(K107,Reinigungstage!A10:C31,3,FALSE)</f>
        <v>196</v>
      </c>
      <c r="M107" s="38">
        <f t="shared" si="18"/>
        <v>803.6</v>
      </c>
      <c r="N107" s="92">
        <f t="shared" si="19"/>
        <v>0</v>
      </c>
      <c r="O107" s="38">
        <f ca="1">IF('SVS UnterhaltsRG'!H61="",0,'SVS UnterhaltsRG'!H61)</f>
        <v>0</v>
      </c>
      <c r="P107" s="38">
        <f t="shared" si="20"/>
        <v>0</v>
      </c>
      <c r="Q107" s="38">
        <f t="shared" ca="1" si="21"/>
        <v>0</v>
      </c>
      <c r="R107" s="38">
        <f t="shared" si="22"/>
        <v>0</v>
      </c>
      <c r="S107" s="38">
        <f t="shared" ca="1" si="23"/>
        <v>0</v>
      </c>
      <c r="T107" s="16" t="str">
        <f t="shared" si="24"/>
        <v>Leistungswert eintragen</v>
      </c>
      <c r="U107" s="16">
        <f t="shared" si="25"/>
        <v>75</v>
      </c>
      <c r="V107" s="16">
        <f t="shared" si="26"/>
        <v>0</v>
      </c>
    </row>
    <row r="108" spans="1:22" ht="15" customHeight="1" x14ac:dyDescent="0.2">
      <c r="A108" s="78">
        <v>87</v>
      </c>
      <c r="B108" s="88">
        <v>106</v>
      </c>
      <c r="C108" s="89" t="s">
        <v>348</v>
      </c>
      <c r="D108" s="89" t="s">
        <v>364</v>
      </c>
      <c r="E108" s="89" t="s">
        <v>335</v>
      </c>
      <c r="F108" s="89" t="s">
        <v>229</v>
      </c>
      <c r="G108" s="90">
        <v>3.47</v>
      </c>
      <c r="H108" s="90"/>
      <c r="I108" s="90"/>
      <c r="J108" s="78" t="s">
        <v>313</v>
      </c>
      <c r="K108" s="90">
        <v>5</v>
      </c>
      <c r="L108" s="38">
        <f>VLOOKUP(K108,Reinigungstage!A10:C31,3,FALSE)</f>
        <v>196</v>
      </c>
      <c r="M108" s="38">
        <f t="shared" si="18"/>
        <v>680.12</v>
      </c>
      <c r="N108" s="92">
        <f t="shared" si="19"/>
        <v>0</v>
      </c>
      <c r="O108" s="38">
        <f ca="1">IF('SVS UnterhaltsRG'!H61="",0,'SVS UnterhaltsRG'!H61)</f>
        <v>0</v>
      </c>
      <c r="P108" s="38">
        <f t="shared" si="20"/>
        <v>0</v>
      </c>
      <c r="Q108" s="38">
        <f t="shared" ca="1" si="21"/>
        <v>0</v>
      </c>
      <c r="R108" s="38">
        <f t="shared" si="22"/>
        <v>0</v>
      </c>
      <c r="S108" s="38">
        <f t="shared" ca="1" si="23"/>
        <v>0</v>
      </c>
      <c r="T108" s="16" t="str">
        <f t="shared" si="24"/>
        <v>Leistungswert eintragen</v>
      </c>
      <c r="U108" s="16">
        <f t="shared" si="25"/>
        <v>450</v>
      </c>
      <c r="V108" s="16">
        <f t="shared" si="26"/>
        <v>0</v>
      </c>
    </row>
    <row r="109" spans="1:22" ht="15" customHeight="1" x14ac:dyDescent="0.2">
      <c r="A109" s="78">
        <v>88</v>
      </c>
      <c r="B109" s="88">
        <v>107</v>
      </c>
      <c r="C109" s="89" t="s">
        <v>348</v>
      </c>
      <c r="D109" s="89" t="s">
        <v>364</v>
      </c>
      <c r="E109" s="89" t="s">
        <v>373</v>
      </c>
      <c r="F109" s="89" t="s">
        <v>229</v>
      </c>
      <c r="G109" s="90">
        <v>8.35</v>
      </c>
      <c r="H109" s="90"/>
      <c r="I109" s="90"/>
      <c r="J109" s="78" t="s">
        <v>309</v>
      </c>
      <c r="K109" s="90">
        <v>1</v>
      </c>
      <c r="L109" s="38">
        <f>VLOOKUP(K109,Reinigungstage!A10:C31,3,FALSE)</f>
        <v>40.71</v>
      </c>
      <c r="M109" s="38">
        <f t="shared" si="18"/>
        <v>339.93</v>
      </c>
      <c r="N109" s="92">
        <f t="shared" si="19"/>
        <v>0</v>
      </c>
      <c r="O109" s="38">
        <f ca="1">IF('SVS UnterhaltsRG'!H61="",0,'SVS UnterhaltsRG'!H61)</f>
        <v>0</v>
      </c>
      <c r="P109" s="38">
        <f t="shared" si="20"/>
        <v>0</v>
      </c>
      <c r="Q109" s="38">
        <f t="shared" ca="1" si="21"/>
        <v>0</v>
      </c>
      <c r="R109" s="38">
        <f t="shared" si="22"/>
        <v>0</v>
      </c>
      <c r="S109" s="38">
        <f t="shared" ca="1" si="23"/>
        <v>0</v>
      </c>
      <c r="T109" s="16" t="str">
        <f t="shared" si="24"/>
        <v>Leistungswert eintragen</v>
      </c>
      <c r="U109" s="16">
        <f t="shared" si="25"/>
        <v>215</v>
      </c>
      <c r="V109" s="16">
        <f t="shared" si="26"/>
        <v>0</v>
      </c>
    </row>
    <row r="110" spans="1:22" ht="15" customHeight="1" x14ac:dyDescent="0.2">
      <c r="A110" s="78">
        <v>89</v>
      </c>
      <c r="B110" s="88">
        <v>108</v>
      </c>
      <c r="C110" s="89" t="s">
        <v>348</v>
      </c>
      <c r="D110" s="89" t="s">
        <v>364</v>
      </c>
      <c r="E110" s="89" t="s">
        <v>374</v>
      </c>
      <c r="F110" s="89" t="s">
        <v>227</v>
      </c>
      <c r="G110" s="90">
        <v>3.26</v>
      </c>
      <c r="H110" s="90"/>
      <c r="I110" s="90"/>
      <c r="J110" s="78" t="s">
        <v>312</v>
      </c>
      <c r="K110" s="90">
        <v>5</v>
      </c>
      <c r="L110" s="38">
        <f>VLOOKUP(K110,Reinigungstage!A10:C31,3,FALSE)</f>
        <v>196</v>
      </c>
      <c r="M110" s="38">
        <f t="shared" si="18"/>
        <v>638.96</v>
      </c>
      <c r="N110" s="92">
        <f t="shared" si="19"/>
        <v>0</v>
      </c>
      <c r="O110" s="38">
        <f ca="1">IF('SVS UnterhaltsRG'!H61="",0,'SVS UnterhaltsRG'!H61)</f>
        <v>0</v>
      </c>
      <c r="P110" s="38">
        <f t="shared" si="20"/>
        <v>0</v>
      </c>
      <c r="Q110" s="38">
        <f t="shared" ca="1" si="21"/>
        <v>0</v>
      </c>
      <c r="R110" s="38">
        <f t="shared" si="22"/>
        <v>0</v>
      </c>
      <c r="S110" s="38">
        <f t="shared" ca="1" si="23"/>
        <v>0</v>
      </c>
      <c r="T110" s="16" t="str">
        <f t="shared" si="24"/>
        <v>Leistungswert eintragen</v>
      </c>
      <c r="U110" s="16">
        <f t="shared" si="25"/>
        <v>75</v>
      </c>
      <c r="V110" s="16">
        <f t="shared" si="26"/>
        <v>0</v>
      </c>
    </row>
    <row r="111" spans="1:22" ht="15" customHeight="1" x14ac:dyDescent="0.2">
      <c r="A111" s="78">
        <v>90</v>
      </c>
      <c r="B111" s="88">
        <v>109</v>
      </c>
      <c r="C111" s="89" t="s">
        <v>348</v>
      </c>
      <c r="D111" s="89" t="s">
        <v>364</v>
      </c>
      <c r="E111" s="89" t="s">
        <v>375</v>
      </c>
      <c r="F111" s="89" t="s">
        <v>227</v>
      </c>
      <c r="G111" s="90">
        <v>4.97</v>
      </c>
      <c r="H111" s="90"/>
      <c r="I111" s="90"/>
      <c r="J111" s="78" t="s">
        <v>312</v>
      </c>
      <c r="K111" s="90">
        <v>5</v>
      </c>
      <c r="L111" s="38">
        <f>VLOOKUP(K111,Reinigungstage!A10:C31,3,FALSE)</f>
        <v>196</v>
      </c>
      <c r="M111" s="38">
        <f t="shared" si="18"/>
        <v>974.12</v>
      </c>
      <c r="N111" s="92">
        <f t="shared" si="19"/>
        <v>0</v>
      </c>
      <c r="O111" s="38">
        <f ca="1">IF('SVS UnterhaltsRG'!H61="",0,'SVS UnterhaltsRG'!H61)</f>
        <v>0</v>
      </c>
      <c r="P111" s="38">
        <f t="shared" si="20"/>
        <v>0</v>
      </c>
      <c r="Q111" s="38">
        <f t="shared" ca="1" si="21"/>
        <v>0</v>
      </c>
      <c r="R111" s="38">
        <f t="shared" si="22"/>
        <v>0</v>
      </c>
      <c r="S111" s="38">
        <f t="shared" ca="1" si="23"/>
        <v>0</v>
      </c>
      <c r="T111" s="16" t="str">
        <f t="shared" si="24"/>
        <v>Leistungswert eintragen</v>
      </c>
      <c r="U111" s="16">
        <f t="shared" si="25"/>
        <v>75</v>
      </c>
      <c r="V111" s="16">
        <f t="shared" si="26"/>
        <v>0</v>
      </c>
    </row>
    <row r="112" spans="1:22" ht="15" customHeight="1" x14ac:dyDescent="0.2">
      <c r="A112" s="78">
        <v>91</v>
      </c>
      <c r="B112" s="88">
        <v>110</v>
      </c>
      <c r="C112" s="89" t="s">
        <v>348</v>
      </c>
      <c r="D112" s="89" t="s">
        <v>364</v>
      </c>
      <c r="E112" s="89" t="s">
        <v>237</v>
      </c>
      <c r="F112" s="89" t="s">
        <v>227</v>
      </c>
      <c r="G112" s="90">
        <v>9.09</v>
      </c>
      <c r="H112" s="90"/>
      <c r="I112" s="90"/>
      <c r="J112" s="78" t="s">
        <v>312</v>
      </c>
      <c r="K112" s="90">
        <v>5</v>
      </c>
      <c r="L112" s="38">
        <f>VLOOKUP(K112,Reinigungstage!A10:C31,3,FALSE)</f>
        <v>196</v>
      </c>
      <c r="M112" s="38">
        <f t="shared" si="18"/>
        <v>1781.64</v>
      </c>
      <c r="N112" s="92">
        <f t="shared" si="19"/>
        <v>0</v>
      </c>
      <c r="O112" s="38">
        <f ca="1">IF('SVS UnterhaltsRG'!H61="",0,'SVS UnterhaltsRG'!H61)</f>
        <v>0</v>
      </c>
      <c r="P112" s="38">
        <f t="shared" si="20"/>
        <v>0</v>
      </c>
      <c r="Q112" s="38">
        <f t="shared" ca="1" si="21"/>
        <v>0</v>
      </c>
      <c r="R112" s="38">
        <f t="shared" si="22"/>
        <v>0</v>
      </c>
      <c r="S112" s="38">
        <f t="shared" ca="1" si="23"/>
        <v>0</v>
      </c>
      <c r="T112" s="16" t="str">
        <f t="shared" si="24"/>
        <v>Leistungswert eintragen</v>
      </c>
      <c r="U112" s="16">
        <f t="shared" si="25"/>
        <v>75</v>
      </c>
      <c r="V112" s="16">
        <f t="shared" si="26"/>
        <v>0</v>
      </c>
    </row>
    <row r="113" spans="1:22" ht="15" customHeight="1" x14ac:dyDescent="0.2">
      <c r="A113" s="78">
        <v>92</v>
      </c>
      <c r="B113" s="88">
        <v>111</v>
      </c>
      <c r="C113" s="89" t="s">
        <v>348</v>
      </c>
      <c r="D113" s="89" t="s">
        <v>364</v>
      </c>
      <c r="E113" s="89" t="s">
        <v>332</v>
      </c>
      <c r="F113" s="89" t="s">
        <v>229</v>
      </c>
      <c r="G113" s="90">
        <v>9.41</v>
      </c>
      <c r="H113" s="90"/>
      <c r="I113" s="90"/>
      <c r="J113" s="78" t="s">
        <v>310</v>
      </c>
      <c r="K113" s="78" t="s">
        <v>154</v>
      </c>
      <c r="L113" s="38">
        <f>VLOOKUP(K113,Reinigungstage!A10:C31,3,FALSE)</f>
        <v>11</v>
      </c>
      <c r="M113" s="38">
        <f t="shared" si="18"/>
        <v>103.51</v>
      </c>
      <c r="N113" s="92">
        <f t="shared" si="19"/>
        <v>0</v>
      </c>
      <c r="O113" s="38">
        <f ca="1">IF('SVS UnterhaltsRG'!H61="",0,'SVS UnterhaltsRG'!H61)</f>
        <v>0</v>
      </c>
      <c r="P113" s="38">
        <f t="shared" si="20"/>
        <v>0</v>
      </c>
      <c r="Q113" s="38">
        <f t="shared" ca="1" si="21"/>
        <v>0</v>
      </c>
      <c r="R113" s="38">
        <f t="shared" si="22"/>
        <v>0</v>
      </c>
      <c r="S113" s="38">
        <f t="shared" ca="1" si="23"/>
        <v>0</v>
      </c>
      <c r="T113" s="16" t="str">
        <f t="shared" si="24"/>
        <v>Leistungswert eintragen</v>
      </c>
      <c r="U113" s="16">
        <f t="shared" si="25"/>
        <v>300</v>
      </c>
      <c r="V113" s="16">
        <f t="shared" si="26"/>
        <v>0</v>
      </c>
    </row>
    <row r="114" spans="1:22" ht="15" customHeight="1" x14ac:dyDescent="0.2">
      <c r="A114" s="78">
        <v>93</v>
      </c>
      <c r="B114" s="88">
        <v>112</v>
      </c>
      <c r="C114" s="89" t="s">
        <v>348</v>
      </c>
      <c r="D114" s="89" t="s">
        <v>364</v>
      </c>
      <c r="E114" s="89" t="s">
        <v>341</v>
      </c>
      <c r="F114" s="89" t="s">
        <v>229</v>
      </c>
      <c r="G114" s="90">
        <v>4.9000000000000004</v>
      </c>
      <c r="H114" s="90"/>
      <c r="I114" s="90"/>
      <c r="J114" s="78" t="s">
        <v>313</v>
      </c>
      <c r="K114" s="90">
        <v>5</v>
      </c>
      <c r="L114" s="38">
        <f>VLOOKUP(K114,Reinigungstage!A10:C31,3,FALSE)</f>
        <v>196</v>
      </c>
      <c r="M114" s="38">
        <f t="shared" si="18"/>
        <v>960.4</v>
      </c>
      <c r="N114" s="92">
        <f t="shared" si="19"/>
        <v>0</v>
      </c>
      <c r="O114" s="38">
        <f ca="1">IF('SVS UnterhaltsRG'!H61="",0,'SVS UnterhaltsRG'!H61)</f>
        <v>0</v>
      </c>
      <c r="P114" s="38">
        <f t="shared" si="20"/>
        <v>0</v>
      </c>
      <c r="Q114" s="38">
        <f t="shared" ca="1" si="21"/>
        <v>0</v>
      </c>
      <c r="R114" s="38">
        <f t="shared" si="22"/>
        <v>0</v>
      </c>
      <c r="S114" s="38">
        <f t="shared" ca="1" si="23"/>
        <v>0</v>
      </c>
      <c r="T114" s="16" t="str">
        <f t="shared" si="24"/>
        <v>Leistungswert eintragen</v>
      </c>
      <c r="U114" s="16">
        <f t="shared" si="25"/>
        <v>450</v>
      </c>
      <c r="V114" s="16">
        <f t="shared" si="26"/>
        <v>0</v>
      </c>
    </row>
    <row r="115" spans="1:22" ht="15" customHeight="1" x14ac:dyDescent="0.2">
      <c r="A115" s="78">
        <v>94</v>
      </c>
      <c r="B115" s="88" t="s">
        <v>376</v>
      </c>
      <c r="C115" s="89" t="s">
        <v>348</v>
      </c>
      <c r="D115" s="89" t="s">
        <v>364</v>
      </c>
      <c r="E115" s="89" t="s">
        <v>232</v>
      </c>
      <c r="F115" s="89" t="s">
        <v>229</v>
      </c>
      <c r="G115" s="90">
        <v>15.98</v>
      </c>
      <c r="H115" s="90"/>
      <c r="I115" s="90"/>
      <c r="J115" s="78" t="s">
        <v>311</v>
      </c>
      <c r="K115" s="90">
        <v>5</v>
      </c>
      <c r="L115" s="38">
        <f>VLOOKUP(K115,Reinigungstage!A10:C31,3,FALSE)</f>
        <v>196</v>
      </c>
      <c r="M115" s="38">
        <f t="shared" si="18"/>
        <v>3132.08</v>
      </c>
      <c r="N115" s="92">
        <f t="shared" si="19"/>
        <v>0</v>
      </c>
      <c r="O115" s="38">
        <f ca="1">IF('SVS UnterhaltsRG'!H61="",0,'SVS UnterhaltsRG'!H61)</f>
        <v>0</v>
      </c>
      <c r="P115" s="38">
        <f t="shared" si="20"/>
        <v>0</v>
      </c>
      <c r="Q115" s="38">
        <f t="shared" ca="1" si="21"/>
        <v>0</v>
      </c>
      <c r="R115" s="38">
        <f t="shared" si="22"/>
        <v>0</v>
      </c>
      <c r="S115" s="38">
        <f t="shared" ca="1" si="23"/>
        <v>0</v>
      </c>
      <c r="T115" s="16" t="str">
        <f t="shared" si="24"/>
        <v>Leistungswert eintragen</v>
      </c>
      <c r="U115" s="16">
        <f t="shared" si="25"/>
        <v>170</v>
      </c>
      <c r="V115" s="16">
        <f t="shared" si="26"/>
        <v>0</v>
      </c>
    </row>
    <row r="116" spans="1:22" ht="15" customHeight="1" x14ac:dyDescent="0.2">
      <c r="A116" s="78">
        <v>95</v>
      </c>
      <c r="B116" s="88">
        <v>113</v>
      </c>
      <c r="C116" s="89" t="s">
        <v>348</v>
      </c>
      <c r="D116" s="89" t="s">
        <v>364</v>
      </c>
      <c r="E116" s="89" t="s">
        <v>232</v>
      </c>
      <c r="F116" s="89" t="s">
        <v>229</v>
      </c>
      <c r="G116" s="90">
        <v>41.87</v>
      </c>
      <c r="H116" s="90"/>
      <c r="I116" s="90"/>
      <c r="J116" s="78" t="s">
        <v>311</v>
      </c>
      <c r="K116" s="90">
        <v>5</v>
      </c>
      <c r="L116" s="38">
        <f>VLOOKUP(K116,Reinigungstage!A10:C31,3,FALSE)</f>
        <v>196</v>
      </c>
      <c r="M116" s="38">
        <f t="shared" si="18"/>
        <v>8206.52</v>
      </c>
      <c r="N116" s="92">
        <f t="shared" si="19"/>
        <v>0</v>
      </c>
      <c r="O116" s="38">
        <f ca="1">IF('SVS UnterhaltsRG'!H61="",0,'SVS UnterhaltsRG'!H61)</f>
        <v>0</v>
      </c>
      <c r="P116" s="38">
        <f t="shared" si="20"/>
        <v>0</v>
      </c>
      <c r="Q116" s="38">
        <f t="shared" ca="1" si="21"/>
        <v>0</v>
      </c>
      <c r="R116" s="38">
        <f t="shared" si="22"/>
        <v>0</v>
      </c>
      <c r="S116" s="38">
        <f t="shared" ca="1" si="23"/>
        <v>0</v>
      </c>
      <c r="T116" s="16" t="str">
        <f t="shared" si="24"/>
        <v>Leistungswert eintragen</v>
      </c>
      <c r="U116" s="16">
        <f t="shared" si="25"/>
        <v>170</v>
      </c>
      <c r="V116" s="16">
        <f t="shared" si="26"/>
        <v>0</v>
      </c>
    </row>
    <row r="117" spans="1:22" ht="15" customHeight="1" x14ac:dyDescent="0.2">
      <c r="A117" s="78">
        <v>96</v>
      </c>
      <c r="B117" s="88">
        <v>114</v>
      </c>
      <c r="C117" s="89" t="s">
        <v>348</v>
      </c>
      <c r="D117" s="89" t="s">
        <v>364</v>
      </c>
      <c r="E117" s="89" t="s">
        <v>232</v>
      </c>
      <c r="F117" s="89" t="s">
        <v>229</v>
      </c>
      <c r="G117" s="90">
        <v>59.57</v>
      </c>
      <c r="H117" s="90"/>
      <c r="I117" s="90"/>
      <c r="J117" s="78" t="s">
        <v>311</v>
      </c>
      <c r="K117" s="90">
        <v>5</v>
      </c>
      <c r="L117" s="38">
        <f>VLOOKUP(K117,Reinigungstage!A10:C31,3,FALSE)</f>
        <v>196</v>
      </c>
      <c r="M117" s="38">
        <f t="shared" si="18"/>
        <v>11675.72</v>
      </c>
      <c r="N117" s="92">
        <f t="shared" si="19"/>
        <v>0</v>
      </c>
      <c r="O117" s="38">
        <f ca="1">IF('SVS UnterhaltsRG'!H61="",0,'SVS UnterhaltsRG'!H61)</f>
        <v>0</v>
      </c>
      <c r="P117" s="38">
        <f t="shared" si="20"/>
        <v>0</v>
      </c>
      <c r="Q117" s="38">
        <f t="shared" ca="1" si="21"/>
        <v>0</v>
      </c>
      <c r="R117" s="38">
        <f t="shared" si="22"/>
        <v>0</v>
      </c>
      <c r="S117" s="38">
        <f t="shared" ca="1" si="23"/>
        <v>0</v>
      </c>
      <c r="T117" s="16" t="str">
        <f t="shared" si="24"/>
        <v>Leistungswert eintragen</v>
      </c>
      <c r="U117" s="16">
        <f t="shared" si="25"/>
        <v>170</v>
      </c>
      <c r="V117" s="16">
        <f t="shared" si="26"/>
        <v>0</v>
      </c>
    </row>
    <row r="118" spans="1:22" ht="15" customHeight="1" x14ac:dyDescent="0.2">
      <c r="A118" s="78">
        <v>97</v>
      </c>
      <c r="B118" s="88">
        <v>115</v>
      </c>
      <c r="C118" s="89" t="s">
        <v>348</v>
      </c>
      <c r="D118" s="89" t="s">
        <v>364</v>
      </c>
      <c r="E118" s="89" t="s">
        <v>341</v>
      </c>
      <c r="F118" s="89" t="s">
        <v>229</v>
      </c>
      <c r="G118" s="90">
        <v>4.8600000000000003</v>
      </c>
      <c r="H118" s="90"/>
      <c r="I118" s="90"/>
      <c r="J118" s="78" t="s">
        <v>313</v>
      </c>
      <c r="K118" s="90">
        <v>5</v>
      </c>
      <c r="L118" s="38">
        <f>VLOOKUP(K118,Reinigungstage!A10:C31,3,FALSE)</f>
        <v>196</v>
      </c>
      <c r="M118" s="38">
        <f t="shared" ref="M118:M120" si="27">ROUND(IF(L118=0,0,L118*G118),2)</f>
        <v>952.56</v>
      </c>
      <c r="N118" s="92">
        <f t="shared" si="19"/>
        <v>0</v>
      </c>
      <c r="O118" s="38">
        <f ca="1">IF('SVS UnterhaltsRG'!H61="",0,'SVS UnterhaltsRG'!H61)</f>
        <v>0</v>
      </c>
      <c r="P118" s="38">
        <f t="shared" si="20"/>
        <v>0</v>
      </c>
      <c r="Q118" s="38">
        <f t="shared" ref="Q118:Q120" ca="1" si="28">IF(M118=0,0,IF(O118="",0,ROUND(P118*O118,2)))</f>
        <v>0</v>
      </c>
      <c r="R118" s="38">
        <f t="shared" si="22"/>
        <v>0</v>
      </c>
      <c r="S118" s="38">
        <f t="shared" ca="1" si="23"/>
        <v>0</v>
      </c>
      <c r="T118" s="16" t="str">
        <f t="shared" si="24"/>
        <v>Leistungswert eintragen</v>
      </c>
      <c r="U118" s="16">
        <f t="shared" si="25"/>
        <v>450</v>
      </c>
      <c r="V118" s="16">
        <f t="shared" ref="V118:V120" si="29">IF(M118=0,0,IF(U118&lt;N118,1,IF(U118&gt;=N118,0,"")))</f>
        <v>0</v>
      </c>
    </row>
    <row r="119" spans="1:22" ht="15" customHeight="1" x14ac:dyDescent="0.2">
      <c r="A119" s="78">
        <v>98</v>
      </c>
      <c r="B119" s="88">
        <v>116</v>
      </c>
      <c r="C119" s="89" t="s">
        <v>348</v>
      </c>
      <c r="D119" s="89" t="s">
        <v>364</v>
      </c>
      <c r="E119" s="89" t="s">
        <v>232</v>
      </c>
      <c r="F119" s="89" t="s">
        <v>229</v>
      </c>
      <c r="G119" s="90">
        <v>59.53</v>
      </c>
      <c r="H119" s="90"/>
      <c r="I119" s="90"/>
      <c r="J119" s="78" t="s">
        <v>311</v>
      </c>
      <c r="K119" s="90">
        <v>5</v>
      </c>
      <c r="L119" s="38">
        <f>VLOOKUP(K119,Reinigungstage!A10:C31,3,FALSE)</f>
        <v>196</v>
      </c>
      <c r="M119" s="38">
        <f t="shared" si="27"/>
        <v>11667.88</v>
      </c>
      <c r="N119" s="92">
        <f t="shared" si="19"/>
        <v>0</v>
      </c>
      <c r="O119" s="38">
        <f ca="1">IF('SVS UnterhaltsRG'!H61="",0,'SVS UnterhaltsRG'!H61)</f>
        <v>0</v>
      </c>
      <c r="P119" s="38">
        <f t="shared" si="20"/>
        <v>0</v>
      </c>
      <c r="Q119" s="38">
        <f t="shared" ca="1" si="28"/>
        <v>0</v>
      </c>
      <c r="R119" s="38">
        <f t="shared" si="22"/>
        <v>0</v>
      </c>
      <c r="S119" s="38">
        <f t="shared" ca="1" si="23"/>
        <v>0</v>
      </c>
      <c r="T119" s="16" t="str">
        <f t="shared" si="24"/>
        <v>Leistungswert eintragen</v>
      </c>
      <c r="U119" s="16">
        <f t="shared" si="25"/>
        <v>170</v>
      </c>
      <c r="V119" s="16">
        <f t="shared" si="29"/>
        <v>0</v>
      </c>
    </row>
    <row r="120" spans="1:22" ht="15" customHeight="1" x14ac:dyDescent="0.2">
      <c r="A120" s="78">
        <v>99</v>
      </c>
      <c r="B120" s="88">
        <v>117</v>
      </c>
      <c r="C120" s="89" t="s">
        <v>348</v>
      </c>
      <c r="D120" s="89" t="s">
        <v>364</v>
      </c>
      <c r="E120" s="89" t="s">
        <v>341</v>
      </c>
      <c r="F120" s="89" t="s">
        <v>229</v>
      </c>
      <c r="G120" s="90">
        <v>5.07</v>
      </c>
      <c r="H120" s="90"/>
      <c r="I120" s="90"/>
      <c r="J120" s="78" t="s">
        <v>313</v>
      </c>
      <c r="K120" s="90">
        <v>5</v>
      </c>
      <c r="L120" s="38">
        <f>VLOOKUP(K120,Reinigungstage!A10:C31,3,FALSE)</f>
        <v>196</v>
      </c>
      <c r="M120" s="38">
        <f t="shared" si="27"/>
        <v>993.72</v>
      </c>
      <c r="N120" s="92">
        <f t="shared" si="19"/>
        <v>0</v>
      </c>
      <c r="O120" s="38">
        <f ca="1">IF('SVS UnterhaltsRG'!H61="",0,'SVS UnterhaltsRG'!H61)</f>
        <v>0</v>
      </c>
      <c r="P120" s="38">
        <f t="shared" si="20"/>
        <v>0</v>
      </c>
      <c r="Q120" s="38">
        <f t="shared" ca="1" si="28"/>
        <v>0</v>
      </c>
      <c r="R120" s="38">
        <f t="shared" si="22"/>
        <v>0</v>
      </c>
      <c r="S120" s="38">
        <f t="shared" ca="1" si="23"/>
        <v>0</v>
      </c>
      <c r="T120" s="16" t="str">
        <f t="shared" si="24"/>
        <v>Leistungswert eintragen</v>
      </c>
      <c r="U120" s="16">
        <f t="shared" si="25"/>
        <v>450</v>
      </c>
      <c r="V120" s="16">
        <f t="shared" si="29"/>
        <v>0</v>
      </c>
    </row>
  </sheetData>
  <sheetProtection algorithmName="SHA-512" hashValue="6vh90nma510mAOY9bcguqGV/llyLeJrXQX55mloZCkKwSg+lnvvsSJ6t2Bo0oSb6IXhUDyeVLsB6H+kJMyHNQQ==" saltValue="uJrY7EP58oJu6iMxPzXE1A==" spinCount="100000" sheet="1" objects="1" scenarios="1"/>
  <sortState xmlns:xlrd2="http://schemas.microsoft.com/office/spreadsheetml/2017/richdata2" ref="U4:U13">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65"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64" priority="5" operator="containsText" text="Bitte prüfen Sie diese.">
      <formula>NOT(ISERROR(SEARCH("Bitte prüfen Sie diese.",L9)))</formula>
    </cfRule>
  </conditionalFormatting>
  <conditionalFormatting sqref="L10">
    <cfRule type="containsText" dxfId="63"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62" priority="3" operator="containsText" text="lediglich Fehleingaben vermeiden wollen.">
      <formula>NOT(ISERROR(SEARCH("lediglich Fehleingaben vermeiden wollen.",L11)))</formula>
    </cfRule>
  </conditionalFormatting>
  <conditionalFormatting sqref="M11">
    <cfRule type="containsText" dxfId="61" priority="8" operator="containsText" text="Bitte die Leistungswerte im Leistungsverzeichnis/ Tabellenblatt Leistungsrichtwerte">
      <formula>NOT(ISERROR(SEARCH("Bitte die Leistungswerte im Leistungsverzeichnis/ Tabellenblatt Leistungsrichtwerte",M11)))</formula>
    </cfRule>
  </conditionalFormatting>
  <conditionalFormatting sqref="M12">
    <cfRule type="containsText" dxfId="60" priority="7" operator="containsText" text="für die Objektart prüfen.">
      <formula>NOT(ISERROR(SEARCH("für die Objektart prüfen.",M12)))</formula>
    </cfRule>
  </conditionalFormatting>
  <conditionalFormatting sqref="N13">
    <cfRule type="expression" dxfId="59" priority="2" stopIfTrue="1">
      <formula>N13=0</formula>
    </cfRule>
  </conditionalFormatting>
  <conditionalFormatting sqref="N14">
    <cfRule type="expression" dxfId="58" priority="1">
      <formula>N14=0</formula>
    </cfRule>
  </conditionalFormatting>
  <conditionalFormatting sqref="N22:N120">
    <cfRule type="expression" dxfId="57" priority="11">
      <formula>V22=0</formula>
    </cfRule>
    <cfRule type="expression" dxfId="56" priority="12" stopIfTrue="1">
      <formula>V22=1</formula>
    </cfRule>
  </conditionalFormatting>
  <conditionalFormatting sqref="O13">
    <cfRule type="containsText" dxfId="55" priority="10"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54" priority="9" operator="containsText" text="Wert(e) prüfen.">
      <formula>NOT(ISERROR(SEARCH("Wert(e) prüfen.",O14)))</formula>
    </cfRule>
  </conditionalFormatting>
  <conditionalFormatting sqref="T22:T120">
    <cfRule type="containsText" dxfId="53" priority="13" stopIfTrue="1" operator="containsText" text="SVS prüfen">
      <formula>NOT(ISERROR(SEARCH("SVS prüfen",T22)))</formula>
    </cfRule>
    <cfRule type="containsText" dxfId="52" priority="14" stopIfTrue="1" operator="containsText" text="Leistungswert eintragen">
      <formula>NOT(ISERROR(SEARCH("Leistungswert eintragen",T22)))</formula>
    </cfRule>
  </conditionalFormatting>
  <hyperlinks>
    <hyperlink ref="M1" location="Inhaltsverzeichnis!A1" display="Zurück zum Inhaltsverzeichnis" xr:uid="{03962A6B-34D7-4E3B-A906-0BD7A68C1CB4}"/>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Unter Hort mit TH</oddFooter>
  </headerFooter>
  <rowBreaks count="1" manualBreakCount="1">
    <brk id="120" max="16383" man="1"/>
  </rowBreaks>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107522"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107523"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107524"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662A-FDEF-4630-9B28-A0406A3CF648}">
  <sheetPr>
    <tabColor indexed="40"/>
  </sheetPr>
  <dimension ref="A1:X103"/>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7109375" style="16" customWidth="1"/>
    <col min="2" max="2" width="7.7109375" style="16" customWidth="1"/>
    <col min="3" max="3" width="5.7109375" style="16" customWidth="1"/>
    <col min="4" max="4" width="13" style="16" customWidth="1"/>
    <col min="5" max="5" width="21.7109375" style="16" customWidth="1"/>
    <col min="6" max="6" width="13.5703125" style="16" bestFit="1"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1.42578125" style="16" customWidth="1"/>
    <col min="14" max="14" width="9.42578125" style="16" customWidth="1"/>
    <col min="15" max="15" width="8.42578125" style="16" customWidth="1"/>
    <col min="16" max="17" width="11.42578125" style="16" customWidth="1"/>
    <col min="18" max="18" width="10.5703125" style="16" customWidth="1"/>
    <col min="19" max="19" width="25.5703125" style="16" customWidth="1"/>
    <col min="20" max="16384" width="6.42578125" style="16" hidden="1"/>
  </cols>
  <sheetData>
    <row r="1" spans="1:22" ht="15" customHeight="1" x14ac:dyDescent="0.2">
      <c r="M1" s="1" t="s">
        <v>100</v>
      </c>
    </row>
    <row r="2" spans="1:22" ht="20.45" customHeight="1" x14ac:dyDescent="0.2">
      <c r="A2" s="167" t="s">
        <v>172</v>
      </c>
      <c r="B2" s="168"/>
      <c r="C2" s="168"/>
      <c r="D2" s="168"/>
      <c r="E2" s="169"/>
      <c r="G2" s="170" t="s">
        <v>185</v>
      </c>
      <c r="H2" s="170" t="s">
        <v>177</v>
      </c>
      <c r="I2" s="170" t="s">
        <v>178</v>
      </c>
      <c r="J2" s="170" t="s">
        <v>197</v>
      </c>
      <c r="M2" s="62"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2" ht="24" customHeight="1" x14ac:dyDescent="0.2">
      <c r="A3" s="75" t="s">
        <v>180</v>
      </c>
      <c r="B3" s="76"/>
      <c r="C3" s="76"/>
      <c r="D3" s="76"/>
      <c r="E3" s="77"/>
      <c r="G3" s="171"/>
      <c r="H3" s="171"/>
      <c r="I3" s="171"/>
      <c r="J3" s="171"/>
      <c r="M3" s="62" t="b">
        <v>0</v>
      </c>
      <c r="N3" s="129"/>
      <c r="O3" s="129"/>
      <c r="P3" s="129"/>
      <c r="Q3" s="129"/>
    </row>
    <row r="4" spans="1:22" ht="18.600000000000001" customHeight="1" x14ac:dyDescent="0.2">
      <c r="A4" s="165" t="s">
        <v>91</v>
      </c>
      <c r="B4" s="153" t="str">
        <f>IF(Inhaltsverzeichnis!C3="","",Inhaltsverzeichnis!C3)</f>
        <v/>
      </c>
      <c r="C4" s="154"/>
      <c r="D4" s="154"/>
      <c r="E4" s="155"/>
      <c r="G4" s="78" t="s">
        <v>314</v>
      </c>
      <c r="H4" s="91"/>
      <c r="I4" s="79">
        <f ca="1">SUMIF('Kal Grund Hort mit TH'!J22:M103,$G$4,'Kal Grund Hort mit TH'!M22:M103)</f>
        <v>49.17</v>
      </c>
      <c r="J4" s="23">
        <f>COUNTIFS('Kal Grund Hort mit TH'!J22:M103,$G$4)</f>
        <v>4</v>
      </c>
      <c r="M4" s="62" t="b">
        <v>0</v>
      </c>
      <c r="N4" s="129"/>
      <c r="O4" s="129"/>
      <c r="P4" s="129"/>
      <c r="Q4" s="129"/>
      <c r="U4" s="78" t="s">
        <v>314</v>
      </c>
      <c r="V4" s="16">
        <v>13</v>
      </c>
    </row>
    <row r="5" spans="1:22" ht="15" customHeight="1" x14ac:dyDescent="0.2">
      <c r="A5" s="166"/>
      <c r="B5" s="156"/>
      <c r="C5" s="157"/>
      <c r="D5" s="157"/>
      <c r="E5" s="158"/>
      <c r="G5" s="78" t="s">
        <v>309</v>
      </c>
      <c r="H5" s="91"/>
      <c r="I5" s="79">
        <f ca="1">SUMIF('Kal Grund Hort mit TH'!J22:M103,$G$5,'Kal Grund Hort mit TH'!M22:M103)</f>
        <v>69.239999999999995</v>
      </c>
      <c r="J5" s="23">
        <f>COUNTIFS('Kal Grund Hort mit TH'!J22:M103,$G$5)</f>
        <v>4</v>
      </c>
      <c r="M5" s="62" t="b">
        <v>0</v>
      </c>
      <c r="N5" s="129"/>
      <c r="O5" s="129"/>
      <c r="P5" s="129"/>
      <c r="Q5" s="129"/>
      <c r="U5" s="78" t="s">
        <v>309</v>
      </c>
      <c r="V5" s="16">
        <v>15</v>
      </c>
    </row>
    <row r="6" spans="1:22" ht="15" customHeight="1" x14ac:dyDescent="0.2">
      <c r="A6" s="80" t="s">
        <v>195</v>
      </c>
      <c r="B6" s="159" t="s">
        <v>215</v>
      </c>
      <c r="C6" s="160"/>
      <c r="D6" s="160"/>
      <c r="E6" s="161"/>
      <c r="G6" s="78" t="s">
        <v>311</v>
      </c>
      <c r="H6" s="91"/>
      <c r="I6" s="79">
        <f ca="1">SUMIF('Kal Grund Hort mit TH'!J22:M103,$G$6,'Kal Grund Hort mit TH'!M22:M103)</f>
        <v>635.56000000000006</v>
      </c>
      <c r="J6" s="23">
        <f>COUNTIFS('Kal Grund Hort mit TH'!J22:M103,$G$6)</f>
        <v>16</v>
      </c>
      <c r="U6" s="78" t="s">
        <v>311</v>
      </c>
      <c r="V6" s="16">
        <v>15</v>
      </c>
    </row>
    <row r="7" spans="1:22" ht="15" customHeight="1" x14ac:dyDescent="0.2">
      <c r="A7" s="81" t="s">
        <v>193</v>
      </c>
      <c r="B7" s="162" t="s">
        <v>221</v>
      </c>
      <c r="C7" s="160"/>
      <c r="D7" s="160"/>
      <c r="E7" s="161"/>
      <c r="G7" s="78" t="s">
        <v>312</v>
      </c>
      <c r="H7" s="91"/>
      <c r="I7" s="79">
        <f ca="1">SUMIF('Kal Grund Hort mit TH'!J22:M103,$G$7,'Kal Grund Hort mit TH'!M22:M103)</f>
        <v>138.30000000000001</v>
      </c>
      <c r="J7" s="23">
        <f>COUNTIFS('Kal Grund Hort mit TH'!J22:M103,$G$7)</f>
        <v>19</v>
      </c>
      <c r="U7" s="78" t="s">
        <v>312</v>
      </c>
      <c r="V7" s="16">
        <v>7</v>
      </c>
    </row>
    <row r="8" spans="1:22" ht="15" customHeight="1" x14ac:dyDescent="0.2">
      <c r="A8" s="81" t="s">
        <v>194</v>
      </c>
      <c r="B8" s="159" t="s">
        <v>222</v>
      </c>
      <c r="C8" s="160"/>
      <c r="D8" s="160"/>
      <c r="E8" s="161"/>
      <c r="G8" s="78" t="s">
        <v>317</v>
      </c>
      <c r="H8" s="91"/>
      <c r="I8" s="79">
        <f ca="1">SUMIF('Kal Grund Hort mit TH'!J22:M103,$G$8,'Kal Grund Hort mit TH'!M22:M103)</f>
        <v>406.95</v>
      </c>
      <c r="J8" s="23">
        <f>COUNTIFS('Kal Grund Hort mit TH'!J22:M103,$G$8)</f>
        <v>1</v>
      </c>
      <c r="L8" s="93" t="str">
        <f>IF(N14&gt;0,"Ihre Eintragungen der Leistungswerte liegen weit über den Erfahrungswerten aus der Preisschätzung.","")</f>
        <v/>
      </c>
      <c r="U8" s="78" t="s">
        <v>317</v>
      </c>
      <c r="V8" s="16">
        <v>25.5</v>
      </c>
    </row>
    <row r="9" spans="1:22" ht="15" customHeight="1" x14ac:dyDescent="0.2">
      <c r="A9" s="80" t="s">
        <v>192</v>
      </c>
      <c r="B9" s="163" t="s">
        <v>220</v>
      </c>
      <c r="C9" s="160"/>
      <c r="D9" s="160"/>
      <c r="E9" s="161"/>
      <c r="G9" s="78" t="s">
        <v>307</v>
      </c>
      <c r="H9" s="91"/>
      <c r="I9" s="79">
        <v>108.37000000000003</v>
      </c>
      <c r="J9" s="23">
        <v>9</v>
      </c>
      <c r="L9" s="93" t="str">
        <f>IF(N14&gt;0,"Bitte prüfen Sie diese.","")</f>
        <v/>
      </c>
      <c r="U9" s="78" t="s">
        <v>310</v>
      </c>
      <c r="V9" s="16">
        <v>20</v>
      </c>
    </row>
    <row r="10" spans="1:22" ht="15" customHeight="1" x14ac:dyDescent="0.2">
      <c r="A10" s="81" t="s">
        <v>174</v>
      </c>
      <c r="B10" s="159" t="s">
        <v>217</v>
      </c>
      <c r="C10" s="160"/>
      <c r="D10" s="160"/>
      <c r="E10" s="161"/>
      <c r="G10" s="78" t="s">
        <v>316</v>
      </c>
      <c r="H10" s="91"/>
      <c r="I10" s="79">
        <v>75.400000000000006</v>
      </c>
      <c r="J10" s="23">
        <v>5</v>
      </c>
      <c r="L10" s="93" t="str">
        <f>IF(N14&gt;0,"Beachten Sie, dass Sie frei in der Kalkulation dieser Leistungswerte sind und wir durch den Hinweis","")</f>
        <v/>
      </c>
      <c r="U10" s="78" t="s">
        <v>307</v>
      </c>
      <c r="V10" s="16">
        <v>14</v>
      </c>
    </row>
    <row r="11" spans="1:22" ht="15" customHeight="1" x14ac:dyDescent="0.2">
      <c r="A11" s="81" t="s">
        <v>175</v>
      </c>
      <c r="B11" s="164" t="s">
        <v>218</v>
      </c>
      <c r="C11" s="160"/>
      <c r="D11" s="160"/>
      <c r="E11" s="161"/>
      <c r="G11" s="78" t="s">
        <v>313</v>
      </c>
      <c r="H11" s="91"/>
      <c r="I11" s="79">
        <v>527.34000000000015</v>
      </c>
      <c r="J11" s="23">
        <v>23</v>
      </c>
      <c r="L11" s="93" t="str">
        <f>IF(N14&gt;0,"lediglich Fehleingaben vermeiden wollen.","")</f>
        <v/>
      </c>
      <c r="U11" s="78" t="s">
        <v>316</v>
      </c>
      <c r="V11" s="16">
        <v>16.5</v>
      </c>
    </row>
    <row r="12" spans="1:22" ht="15" customHeight="1" x14ac:dyDescent="0.2">
      <c r="A12" s="81" t="s">
        <v>176</v>
      </c>
      <c r="B12" s="159" t="s">
        <v>219</v>
      </c>
      <c r="C12" s="160"/>
      <c r="D12" s="160"/>
      <c r="E12" s="161"/>
      <c r="G12" s="78" t="s">
        <v>315</v>
      </c>
      <c r="H12" s="91"/>
      <c r="I12" s="79">
        <v>11.48</v>
      </c>
      <c r="J12" s="23">
        <v>1</v>
      </c>
      <c r="U12" s="78" t="s">
        <v>313</v>
      </c>
      <c r="V12" s="16">
        <v>24</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94"/>
      <c r="U13" s="78" t="s">
        <v>315</v>
      </c>
      <c r="V13" s="16">
        <v>16.5</v>
      </c>
    </row>
    <row r="14" spans="1:22" ht="15" customHeight="1" x14ac:dyDescent="0.2">
      <c r="N14" s="82">
        <f>COUNTIF(X22:X$103,1)</f>
        <v>0</v>
      </c>
      <c r="O14" s="16" t="str">
        <f>IF(N14&gt;0,"Wert(e) prüfen.","")</f>
        <v/>
      </c>
      <c r="S14" s="84">
        <f>IF(COUNTA($S$22:$S$103)-COUNTBLANK($S$22:$S$103)=0,"",COUNTA($S$22:$S$103)-COUNTBLANK($S$22:$S$103))</f>
        <v>82</v>
      </c>
    </row>
    <row r="15" spans="1:22" ht="15" hidden="1" customHeight="1" x14ac:dyDescent="0.2"/>
    <row r="16" spans="1:22" ht="15" hidden="1" customHeight="1" x14ac:dyDescent="0.2"/>
    <row r="17" spans="1:24" ht="15" hidden="1" customHeight="1" x14ac:dyDescent="0.2"/>
    <row r="18" spans="1:24" ht="15" hidden="1" customHeight="1" x14ac:dyDescent="0.2"/>
    <row r="19" spans="1:24" ht="15" hidden="1" customHeight="1" x14ac:dyDescent="0.2"/>
    <row r="20" spans="1:24" ht="45" customHeight="1" x14ac:dyDescent="0.2">
      <c r="A20" s="33" t="s">
        <v>92</v>
      </c>
      <c r="B20" s="33" t="s">
        <v>97</v>
      </c>
      <c r="C20" s="33" t="s">
        <v>93</v>
      </c>
      <c r="D20" s="33" t="s">
        <v>94</v>
      </c>
      <c r="E20" s="33" t="s">
        <v>98</v>
      </c>
      <c r="F20" s="33" t="s">
        <v>95</v>
      </c>
      <c r="G20" s="33" t="s">
        <v>117</v>
      </c>
      <c r="H20" s="33" t="s">
        <v>107</v>
      </c>
      <c r="I20" s="33" t="s">
        <v>108</v>
      </c>
      <c r="J20" s="33" t="s">
        <v>99</v>
      </c>
      <c r="K20" s="33" t="s">
        <v>105</v>
      </c>
      <c r="L20" s="33" t="s">
        <v>109</v>
      </c>
      <c r="M20" s="33" t="s">
        <v>110</v>
      </c>
      <c r="N20" s="33" t="s">
        <v>106</v>
      </c>
      <c r="O20" s="33" t="s">
        <v>111</v>
      </c>
      <c r="P20" s="33" t="s">
        <v>112</v>
      </c>
      <c r="Q20" s="33" t="s">
        <v>113</v>
      </c>
      <c r="R20" s="33" t="s">
        <v>135</v>
      </c>
    </row>
    <row r="21" spans="1:24" ht="29.1" customHeight="1" x14ac:dyDescent="0.2">
      <c r="A21" s="85" t="s">
        <v>120</v>
      </c>
      <c r="B21" s="60"/>
      <c r="C21" s="60"/>
      <c r="D21" s="60"/>
      <c r="E21" s="60"/>
      <c r="F21" s="60"/>
      <c r="G21" s="86">
        <f>SUM($G$22:$G$103)</f>
        <v>2021.8099999999993</v>
      </c>
      <c r="H21" s="86">
        <f>SUM($H$22:$H$103)</f>
        <v>0</v>
      </c>
      <c r="I21" s="86">
        <f>SUM($I$22:$I$103)</f>
        <v>0</v>
      </c>
      <c r="J21" s="38"/>
      <c r="K21" s="38"/>
      <c r="L21" s="87">
        <f>MAX(L22:L103)</f>
        <v>1</v>
      </c>
      <c r="M21" s="86">
        <f>SUM($M$22:$M$103)</f>
        <v>2021.8099999999993</v>
      </c>
      <c r="N21" s="38"/>
      <c r="O21" s="38"/>
      <c r="P21" s="86">
        <f>SUM($P$22:$P$103)</f>
        <v>0</v>
      </c>
      <c r="Q21" s="86">
        <f>SUM($Q$22:$Q$103)</f>
        <v>0</v>
      </c>
      <c r="R21" s="86">
        <f>ROUND(IF(Q21=0,0,Q21/L21),2)</f>
        <v>0</v>
      </c>
    </row>
    <row r="22" spans="1:24" ht="15" customHeight="1" x14ac:dyDescent="0.2">
      <c r="A22" s="78">
        <v>1</v>
      </c>
      <c r="B22" s="95">
        <v>1</v>
      </c>
      <c r="C22" s="89" t="s">
        <v>318</v>
      </c>
      <c r="D22" s="89" t="s">
        <v>319</v>
      </c>
      <c r="E22" s="89" t="s">
        <v>320</v>
      </c>
      <c r="F22" s="89" t="s">
        <v>227</v>
      </c>
      <c r="G22" s="90">
        <v>17.940000000000001</v>
      </c>
      <c r="H22" s="90"/>
      <c r="I22" s="90"/>
      <c r="J22" s="78" t="s">
        <v>307</v>
      </c>
      <c r="K22" s="78" t="s">
        <v>160</v>
      </c>
      <c r="L22" s="38">
        <f>VLOOKUP(K22,Reinigungstage!A10:E31,5,FALSE)</f>
        <v>1</v>
      </c>
      <c r="M22" s="38">
        <f t="shared" ref="M22:M45" si="0">ROUND(IF(L22=0,0,L22*G22),2)</f>
        <v>17.940000000000001</v>
      </c>
      <c r="N22" s="92">
        <f t="shared" ref="N22:N45" si="1">VLOOKUP(J22,$G$4:$H$13,2,FALSE)</f>
        <v>0</v>
      </c>
      <c r="O22" s="38">
        <f ca="1">IF('SVS GrundRG'!H61="",0,'SVS GrundRG'!H61)</f>
        <v>0</v>
      </c>
      <c r="P22" s="38">
        <f t="shared" ref="P22:P45" si="2">ROUND(IF(N22=0,0,M22/N22),2)</f>
        <v>0</v>
      </c>
      <c r="Q22" s="38">
        <f t="shared" ref="Q22:Q45" si="3">ROUND(IF(P22=0,0,P22*O22),2)</f>
        <v>0</v>
      </c>
      <c r="R22" s="38">
        <f t="shared" ref="R22:R45" si="4">ROUND(IF(P22=0,0,Q22/L22),2)</f>
        <v>0</v>
      </c>
      <c r="S22" s="16" t="str">
        <f t="shared" ref="S22:S45" si="5">IF(M22=0,"",IF(N22=0,"Leistungswert eintragen",IF(O22=0,"SVS prüfen","")))</f>
        <v>Leistungswert eintragen</v>
      </c>
      <c r="U22" s="16">
        <f t="shared" ref="U22:U45" si="6">VLOOKUP(J22,$U$4:$V$13,2,FALSE)</f>
        <v>14</v>
      </c>
      <c r="V22" s="16">
        <f t="shared" ref="V22:V45" si="7">U22*30%</f>
        <v>4.2</v>
      </c>
      <c r="W22" s="16">
        <f t="shared" ref="W22:W45" si="8">SUM(U22:V22)</f>
        <v>18.2</v>
      </c>
      <c r="X22" s="16" t="str">
        <f t="shared" ref="X22:X45" si="9">IF(N22=0,"",IF(W22&lt;N22,1,IF(W22&gt;=N22,0,"")))</f>
        <v/>
      </c>
    </row>
    <row r="23" spans="1:24" ht="15" customHeight="1" x14ac:dyDescent="0.2">
      <c r="A23" s="78">
        <v>2</v>
      </c>
      <c r="B23" s="95">
        <v>2</v>
      </c>
      <c r="C23" s="89" t="s">
        <v>318</v>
      </c>
      <c r="D23" s="89" t="s">
        <v>319</v>
      </c>
      <c r="E23" s="89" t="s">
        <v>321</v>
      </c>
      <c r="F23" s="89" t="s">
        <v>227</v>
      </c>
      <c r="G23" s="90">
        <v>24.11</v>
      </c>
      <c r="H23" s="90"/>
      <c r="I23" s="90"/>
      <c r="J23" s="78" t="s">
        <v>313</v>
      </c>
      <c r="K23" s="78" t="s">
        <v>160</v>
      </c>
      <c r="L23" s="38">
        <f>VLOOKUP(K23,Reinigungstage!A10:E31,5,FALSE)</f>
        <v>1</v>
      </c>
      <c r="M23" s="38">
        <f t="shared" si="0"/>
        <v>24.11</v>
      </c>
      <c r="N23" s="92">
        <f t="shared" si="1"/>
        <v>0</v>
      </c>
      <c r="O23" s="38">
        <f ca="1">IF('SVS GrundRG'!H61="",0,'SVS GrundRG'!H61)</f>
        <v>0</v>
      </c>
      <c r="P23" s="38">
        <f t="shared" si="2"/>
        <v>0</v>
      </c>
      <c r="Q23" s="38">
        <f t="shared" si="3"/>
        <v>0</v>
      </c>
      <c r="R23" s="38">
        <f t="shared" si="4"/>
        <v>0</v>
      </c>
      <c r="S23" s="16" t="str">
        <f t="shared" si="5"/>
        <v>Leistungswert eintragen</v>
      </c>
      <c r="U23" s="16">
        <f t="shared" si="6"/>
        <v>24</v>
      </c>
      <c r="V23" s="16">
        <f t="shared" si="7"/>
        <v>7.1999999999999993</v>
      </c>
      <c r="W23" s="16">
        <f t="shared" si="8"/>
        <v>31.2</v>
      </c>
      <c r="X23" s="16" t="str">
        <f t="shared" si="9"/>
        <v/>
      </c>
    </row>
    <row r="24" spans="1:24" ht="15" customHeight="1" x14ac:dyDescent="0.2">
      <c r="A24" s="78">
        <v>3</v>
      </c>
      <c r="B24" s="95">
        <v>3</v>
      </c>
      <c r="C24" s="89" t="s">
        <v>318</v>
      </c>
      <c r="D24" s="89" t="s">
        <v>319</v>
      </c>
      <c r="E24" s="89" t="s">
        <v>322</v>
      </c>
      <c r="F24" s="89" t="s">
        <v>227</v>
      </c>
      <c r="G24" s="90">
        <v>4.71</v>
      </c>
      <c r="H24" s="90"/>
      <c r="I24" s="90"/>
      <c r="J24" s="78" t="s">
        <v>312</v>
      </c>
      <c r="K24" s="78" t="s">
        <v>160</v>
      </c>
      <c r="L24" s="38">
        <f>VLOOKUP(K24,Reinigungstage!A10:E31,5,FALSE)</f>
        <v>1</v>
      </c>
      <c r="M24" s="38">
        <f t="shared" si="0"/>
        <v>4.71</v>
      </c>
      <c r="N24" s="92">
        <f t="shared" si="1"/>
        <v>0</v>
      </c>
      <c r="O24" s="38">
        <f ca="1">IF('SVS GrundRG'!H61="",0,'SVS GrundRG'!H61)</f>
        <v>0</v>
      </c>
      <c r="P24" s="38">
        <f t="shared" si="2"/>
        <v>0</v>
      </c>
      <c r="Q24" s="38">
        <f t="shared" si="3"/>
        <v>0</v>
      </c>
      <c r="R24" s="38">
        <f t="shared" si="4"/>
        <v>0</v>
      </c>
      <c r="S24" s="16" t="str">
        <f t="shared" si="5"/>
        <v>Leistungswert eintragen</v>
      </c>
      <c r="U24" s="16">
        <f t="shared" si="6"/>
        <v>7</v>
      </c>
      <c r="V24" s="16">
        <f t="shared" si="7"/>
        <v>2.1</v>
      </c>
      <c r="W24" s="16">
        <f t="shared" si="8"/>
        <v>9.1</v>
      </c>
      <c r="X24" s="16" t="str">
        <f t="shared" si="9"/>
        <v/>
      </c>
    </row>
    <row r="25" spans="1:24" ht="15" customHeight="1" x14ac:dyDescent="0.2">
      <c r="A25" s="78">
        <v>4</v>
      </c>
      <c r="B25" s="95">
        <v>4</v>
      </c>
      <c r="C25" s="89" t="s">
        <v>318</v>
      </c>
      <c r="D25" s="89" t="s">
        <v>319</v>
      </c>
      <c r="E25" s="89" t="s">
        <v>323</v>
      </c>
      <c r="F25" s="89" t="s">
        <v>227</v>
      </c>
      <c r="G25" s="90">
        <v>13.09</v>
      </c>
      <c r="H25" s="90"/>
      <c r="I25" s="90"/>
      <c r="J25" s="78" t="s">
        <v>316</v>
      </c>
      <c r="K25" s="78" t="s">
        <v>160</v>
      </c>
      <c r="L25" s="38">
        <f>VLOOKUP(K25,Reinigungstage!A10:E31,5,FALSE)</f>
        <v>1</v>
      </c>
      <c r="M25" s="38">
        <f t="shared" si="0"/>
        <v>13.09</v>
      </c>
      <c r="N25" s="92">
        <f t="shared" si="1"/>
        <v>0</v>
      </c>
      <c r="O25" s="38">
        <f ca="1">IF('SVS GrundRG'!H61="",0,'SVS GrundRG'!H61)</f>
        <v>0</v>
      </c>
      <c r="P25" s="38">
        <f t="shared" si="2"/>
        <v>0</v>
      </c>
      <c r="Q25" s="38">
        <f t="shared" si="3"/>
        <v>0</v>
      </c>
      <c r="R25" s="38">
        <f t="shared" si="4"/>
        <v>0</v>
      </c>
      <c r="S25" s="16" t="str">
        <f t="shared" si="5"/>
        <v>Leistungswert eintragen</v>
      </c>
      <c r="U25" s="16">
        <f t="shared" si="6"/>
        <v>16.5</v>
      </c>
      <c r="V25" s="16">
        <f t="shared" si="7"/>
        <v>4.95</v>
      </c>
      <c r="W25" s="16">
        <f t="shared" si="8"/>
        <v>21.45</v>
      </c>
      <c r="X25" s="16" t="str">
        <f t="shared" si="9"/>
        <v/>
      </c>
    </row>
    <row r="26" spans="1:24" ht="15" customHeight="1" x14ac:dyDescent="0.2">
      <c r="A26" s="78">
        <v>5</v>
      </c>
      <c r="B26" s="95">
        <v>5</v>
      </c>
      <c r="C26" s="89" t="s">
        <v>318</v>
      </c>
      <c r="D26" s="89" t="s">
        <v>319</v>
      </c>
      <c r="E26" s="89" t="s">
        <v>324</v>
      </c>
      <c r="F26" s="89" t="s">
        <v>227</v>
      </c>
      <c r="G26" s="90">
        <v>21.86</v>
      </c>
      <c r="H26" s="90"/>
      <c r="I26" s="90"/>
      <c r="J26" s="78" t="s">
        <v>316</v>
      </c>
      <c r="K26" s="78" t="s">
        <v>160</v>
      </c>
      <c r="L26" s="38">
        <f>VLOOKUP(K26,Reinigungstage!A10:E31,5,FALSE)</f>
        <v>1</v>
      </c>
      <c r="M26" s="38">
        <f t="shared" si="0"/>
        <v>21.86</v>
      </c>
      <c r="N26" s="92">
        <f t="shared" si="1"/>
        <v>0</v>
      </c>
      <c r="O26" s="38">
        <f ca="1">IF('SVS GrundRG'!H61="",0,'SVS GrundRG'!H61)</f>
        <v>0</v>
      </c>
      <c r="P26" s="38">
        <f t="shared" si="2"/>
        <v>0</v>
      </c>
      <c r="Q26" s="38">
        <f t="shared" si="3"/>
        <v>0</v>
      </c>
      <c r="R26" s="38">
        <f t="shared" si="4"/>
        <v>0</v>
      </c>
      <c r="S26" s="16" t="str">
        <f t="shared" si="5"/>
        <v>Leistungswert eintragen</v>
      </c>
      <c r="U26" s="16">
        <f t="shared" si="6"/>
        <v>16.5</v>
      </c>
      <c r="V26" s="16">
        <f t="shared" si="7"/>
        <v>4.95</v>
      </c>
      <c r="W26" s="16">
        <f t="shared" si="8"/>
        <v>21.45</v>
      </c>
      <c r="X26" s="16" t="str">
        <f t="shared" si="9"/>
        <v/>
      </c>
    </row>
    <row r="27" spans="1:24" ht="15" customHeight="1" x14ac:dyDescent="0.2">
      <c r="A27" s="78">
        <v>6</v>
      </c>
      <c r="B27" s="95">
        <v>6</v>
      </c>
      <c r="C27" s="89" t="s">
        <v>318</v>
      </c>
      <c r="D27" s="89" t="s">
        <v>319</v>
      </c>
      <c r="E27" s="89" t="s">
        <v>325</v>
      </c>
      <c r="F27" s="89" t="s">
        <v>227</v>
      </c>
      <c r="G27" s="90">
        <v>16.329999999999998</v>
      </c>
      <c r="H27" s="90"/>
      <c r="I27" s="90"/>
      <c r="J27" s="78" t="s">
        <v>312</v>
      </c>
      <c r="K27" s="78" t="s">
        <v>160</v>
      </c>
      <c r="L27" s="38">
        <f>VLOOKUP(K27,Reinigungstage!A10:E31,5,FALSE)</f>
        <v>1</v>
      </c>
      <c r="M27" s="38">
        <f t="shared" si="0"/>
        <v>16.329999999999998</v>
      </c>
      <c r="N27" s="92">
        <f t="shared" si="1"/>
        <v>0</v>
      </c>
      <c r="O27" s="38">
        <f ca="1">IF('SVS GrundRG'!H61="",0,'SVS GrundRG'!H61)</f>
        <v>0</v>
      </c>
      <c r="P27" s="38">
        <f t="shared" si="2"/>
        <v>0</v>
      </c>
      <c r="Q27" s="38">
        <f t="shared" si="3"/>
        <v>0</v>
      </c>
      <c r="R27" s="38">
        <f t="shared" si="4"/>
        <v>0</v>
      </c>
      <c r="S27" s="16" t="str">
        <f t="shared" si="5"/>
        <v>Leistungswert eintragen</v>
      </c>
      <c r="U27" s="16">
        <f t="shared" si="6"/>
        <v>7</v>
      </c>
      <c r="V27" s="16">
        <f t="shared" si="7"/>
        <v>2.1</v>
      </c>
      <c r="W27" s="16">
        <f t="shared" si="8"/>
        <v>9.1</v>
      </c>
      <c r="X27" s="16" t="str">
        <f t="shared" si="9"/>
        <v/>
      </c>
    </row>
    <row r="28" spans="1:24" ht="15" customHeight="1" x14ac:dyDescent="0.2">
      <c r="A28" s="78">
        <v>7</v>
      </c>
      <c r="B28" s="95">
        <v>7</v>
      </c>
      <c r="C28" s="89" t="s">
        <v>318</v>
      </c>
      <c r="D28" s="89" t="s">
        <v>319</v>
      </c>
      <c r="E28" s="89" t="s">
        <v>325</v>
      </c>
      <c r="F28" s="89" t="s">
        <v>227</v>
      </c>
      <c r="G28" s="90">
        <v>15.84</v>
      </c>
      <c r="H28" s="90"/>
      <c r="I28" s="90"/>
      <c r="J28" s="78" t="s">
        <v>312</v>
      </c>
      <c r="K28" s="78" t="s">
        <v>160</v>
      </c>
      <c r="L28" s="38">
        <f>VLOOKUP(K28,Reinigungstage!A10:E31,5,FALSE)</f>
        <v>1</v>
      </c>
      <c r="M28" s="38">
        <f t="shared" si="0"/>
        <v>15.84</v>
      </c>
      <c r="N28" s="92">
        <f t="shared" si="1"/>
        <v>0</v>
      </c>
      <c r="O28" s="38">
        <f ca="1">IF('SVS GrundRG'!H61="",0,'SVS GrundRG'!H61)</f>
        <v>0</v>
      </c>
      <c r="P28" s="38">
        <f t="shared" si="2"/>
        <v>0</v>
      </c>
      <c r="Q28" s="38">
        <f t="shared" si="3"/>
        <v>0</v>
      </c>
      <c r="R28" s="38">
        <f t="shared" si="4"/>
        <v>0</v>
      </c>
      <c r="S28" s="16" t="str">
        <f t="shared" si="5"/>
        <v>Leistungswert eintragen</v>
      </c>
      <c r="U28" s="16">
        <f t="shared" si="6"/>
        <v>7</v>
      </c>
      <c r="V28" s="16">
        <f t="shared" si="7"/>
        <v>2.1</v>
      </c>
      <c r="W28" s="16">
        <f t="shared" si="8"/>
        <v>9.1</v>
      </c>
      <c r="X28" s="16" t="str">
        <f t="shared" si="9"/>
        <v/>
      </c>
    </row>
    <row r="29" spans="1:24" ht="15" customHeight="1" x14ac:dyDescent="0.2">
      <c r="A29" s="78">
        <v>8</v>
      </c>
      <c r="B29" s="95">
        <v>8</v>
      </c>
      <c r="C29" s="89" t="s">
        <v>318</v>
      </c>
      <c r="D29" s="89" t="s">
        <v>319</v>
      </c>
      <c r="E29" s="89" t="s">
        <v>324</v>
      </c>
      <c r="F29" s="89" t="s">
        <v>227</v>
      </c>
      <c r="G29" s="90">
        <v>22.35</v>
      </c>
      <c r="H29" s="90"/>
      <c r="I29" s="90"/>
      <c r="J29" s="78" t="s">
        <v>316</v>
      </c>
      <c r="K29" s="78" t="s">
        <v>160</v>
      </c>
      <c r="L29" s="38">
        <f>VLOOKUP(K29,Reinigungstage!A10:E31,5,FALSE)</f>
        <v>1</v>
      </c>
      <c r="M29" s="38">
        <f t="shared" si="0"/>
        <v>22.35</v>
      </c>
      <c r="N29" s="92">
        <f t="shared" si="1"/>
        <v>0</v>
      </c>
      <c r="O29" s="38">
        <f ca="1">IF('SVS GrundRG'!H61="",0,'SVS GrundRG'!H61)</f>
        <v>0</v>
      </c>
      <c r="P29" s="38">
        <f t="shared" si="2"/>
        <v>0</v>
      </c>
      <c r="Q29" s="38">
        <f t="shared" si="3"/>
        <v>0</v>
      </c>
      <c r="R29" s="38">
        <f t="shared" si="4"/>
        <v>0</v>
      </c>
      <c r="S29" s="16" t="str">
        <f t="shared" si="5"/>
        <v>Leistungswert eintragen</v>
      </c>
      <c r="U29" s="16">
        <f t="shared" si="6"/>
        <v>16.5</v>
      </c>
      <c r="V29" s="16">
        <f t="shared" si="7"/>
        <v>4.95</v>
      </c>
      <c r="W29" s="16">
        <f t="shared" si="8"/>
        <v>21.45</v>
      </c>
      <c r="X29" s="16" t="str">
        <f t="shared" si="9"/>
        <v/>
      </c>
    </row>
    <row r="30" spans="1:24" ht="15" customHeight="1" x14ac:dyDescent="0.2">
      <c r="A30" s="78">
        <v>9</v>
      </c>
      <c r="B30" s="95">
        <v>12</v>
      </c>
      <c r="C30" s="89" t="s">
        <v>318</v>
      </c>
      <c r="D30" s="89" t="s">
        <v>319</v>
      </c>
      <c r="E30" s="89" t="s">
        <v>320</v>
      </c>
      <c r="F30" s="89" t="s">
        <v>227</v>
      </c>
      <c r="G30" s="90">
        <v>14.21</v>
      </c>
      <c r="H30" s="90"/>
      <c r="I30" s="90"/>
      <c r="J30" s="78" t="s">
        <v>307</v>
      </c>
      <c r="K30" s="78" t="s">
        <v>160</v>
      </c>
      <c r="L30" s="38">
        <f>VLOOKUP(K30,Reinigungstage!A10:E31,5,FALSE)</f>
        <v>1</v>
      </c>
      <c r="M30" s="38">
        <f t="shared" si="0"/>
        <v>14.21</v>
      </c>
      <c r="N30" s="92">
        <f t="shared" si="1"/>
        <v>0</v>
      </c>
      <c r="O30" s="38">
        <f ca="1">IF('SVS GrundRG'!H61="",0,'SVS GrundRG'!H61)</f>
        <v>0</v>
      </c>
      <c r="P30" s="38">
        <f t="shared" si="2"/>
        <v>0</v>
      </c>
      <c r="Q30" s="38">
        <f t="shared" si="3"/>
        <v>0</v>
      </c>
      <c r="R30" s="38">
        <f t="shared" si="4"/>
        <v>0</v>
      </c>
      <c r="S30" s="16" t="str">
        <f t="shared" si="5"/>
        <v>Leistungswert eintragen</v>
      </c>
      <c r="U30" s="16">
        <f t="shared" si="6"/>
        <v>14</v>
      </c>
      <c r="V30" s="16">
        <f t="shared" si="7"/>
        <v>4.2</v>
      </c>
      <c r="W30" s="16">
        <f t="shared" si="8"/>
        <v>18.2</v>
      </c>
      <c r="X30" s="16" t="str">
        <f t="shared" si="9"/>
        <v/>
      </c>
    </row>
    <row r="31" spans="1:24" ht="15" customHeight="1" x14ac:dyDescent="0.2">
      <c r="A31" s="78">
        <v>10</v>
      </c>
      <c r="B31" s="95">
        <v>13</v>
      </c>
      <c r="C31" s="89" t="s">
        <v>318</v>
      </c>
      <c r="D31" s="89" t="s">
        <v>319</v>
      </c>
      <c r="E31" s="89" t="s">
        <v>321</v>
      </c>
      <c r="F31" s="89" t="s">
        <v>227</v>
      </c>
      <c r="G31" s="90">
        <v>23.63</v>
      </c>
      <c r="H31" s="90"/>
      <c r="I31" s="90"/>
      <c r="J31" s="78" t="s">
        <v>313</v>
      </c>
      <c r="K31" s="78" t="s">
        <v>160</v>
      </c>
      <c r="L31" s="38">
        <f>VLOOKUP(K31,Reinigungstage!A10:E31,5,FALSE)</f>
        <v>1</v>
      </c>
      <c r="M31" s="38">
        <f t="shared" si="0"/>
        <v>23.63</v>
      </c>
      <c r="N31" s="92">
        <f t="shared" si="1"/>
        <v>0</v>
      </c>
      <c r="O31" s="38">
        <f ca="1">IF('SVS GrundRG'!H61="",0,'SVS GrundRG'!H61)</f>
        <v>0</v>
      </c>
      <c r="P31" s="38">
        <f t="shared" si="2"/>
        <v>0</v>
      </c>
      <c r="Q31" s="38">
        <f t="shared" si="3"/>
        <v>0</v>
      </c>
      <c r="R31" s="38">
        <f t="shared" si="4"/>
        <v>0</v>
      </c>
      <c r="S31" s="16" t="str">
        <f t="shared" si="5"/>
        <v>Leistungswert eintragen</v>
      </c>
      <c r="U31" s="16">
        <f t="shared" si="6"/>
        <v>24</v>
      </c>
      <c r="V31" s="16">
        <f t="shared" si="7"/>
        <v>7.1999999999999993</v>
      </c>
      <c r="W31" s="16">
        <f t="shared" si="8"/>
        <v>31.2</v>
      </c>
      <c r="X31" s="16" t="str">
        <f t="shared" si="9"/>
        <v/>
      </c>
    </row>
    <row r="32" spans="1:24" ht="15" customHeight="1" x14ac:dyDescent="0.2">
      <c r="A32" s="78">
        <v>11</v>
      </c>
      <c r="B32" s="95">
        <v>16</v>
      </c>
      <c r="C32" s="89" t="s">
        <v>318</v>
      </c>
      <c r="D32" s="89" t="s">
        <v>319</v>
      </c>
      <c r="E32" s="89" t="s">
        <v>333</v>
      </c>
      <c r="F32" s="89" t="s">
        <v>227</v>
      </c>
      <c r="G32" s="90">
        <v>9.1</v>
      </c>
      <c r="H32" s="90"/>
      <c r="I32" s="90"/>
      <c r="J32" s="78" t="s">
        <v>316</v>
      </c>
      <c r="K32" s="78" t="s">
        <v>160</v>
      </c>
      <c r="L32" s="38">
        <f>VLOOKUP(K32,Reinigungstage!A10:E31,5,FALSE)</f>
        <v>1</v>
      </c>
      <c r="M32" s="38">
        <f t="shared" si="0"/>
        <v>9.1</v>
      </c>
      <c r="N32" s="92">
        <f t="shared" si="1"/>
        <v>0</v>
      </c>
      <c r="O32" s="38">
        <f ca="1">IF('SVS GrundRG'!H61="",0,'SVS GrundRG'!H61)</f>
        <v>0</v>
      </c>
      <c r="P32" s="38">
        <f t="shared" si="2"/>
        <v>0</v>
      </c>
      <c r="Q32" s="38">
        <f t="shared" si="3"/>
        <v>0</v>
      </c>
      <c r="R32" s="38">
        <f t="shared" si="4"/>
        <v>0</v>
      </c>
      <c r="S32" s="16" t="str">
        <f t="shared" si="5"/>
        <v>Leistungswert eintragen</v>
      </c>
      <c r="U32" s="16">
        <f t="shared" si="6"/>
        <v>16.5</v>
      </c>
      <c r="V32" s="16">
        <f t="shared" si="7"/>
        <v>4.95</v>
      </c>
      <c r="W32" s="16">
        <f t="shared" si="8"/>
        <v>21.45</v>
      </c>
      <c r="X32" s="16" t="str">
        <f t="shared" si="9"/>
        <v/>
      </c>
    </row>
    <row r="33" spans="1:24" ht="15" customHeight="1" x14ac:dyDescent="0.2">
      <c r="A33" s="78">
        <v>12</v>
      </c>
      <c r="B33" s="95">
        <v>17</v>
      </c>
      <c r="C33" s="89" t="s">
        <v>318</v>
      </c>
      <c r="D33" s="89" t="s">
        <v>319</v>
      </c>
      <c r="E33" s="89" t="s">
        <v>334</v>
      </c>
      <c r="F33" s="89" t="s">
        <v>227</v>
      </c>
      <c r="G33" s="90">
        <v>5.0199999999999996</v>
      </c>
      <c r="H33" s="90"/>
      <c r="I33" s="90"/>
      <c r="J33" s="78" t="s">
        <v>312</v>
      </c>
      <c r="K33" s="78" t="s">
        <v>160</v>
      </c>
      <c r="L33" s="38">
        <f>VLOOKUP(K33,Reinigungstage!A10:E31,5,FALSE)</f>
        <v>1</v>
      </c>
      <c r="M33" s="38">
        <f t="shared" si="0"/>
        <v>5.0199999999999996</v>
      </c>
      <c r="N33" s="92">
        <f t="shared" si="1"/>
        <v>0</v>
      </c>
      <c r="O33" s="38">
        <f ca="1">IF('SVS GrundRG'!H61="",0,'SVS GrundRG'!H61)</f>
        <v>0</v>
      </c>
      <c r="P33" s="38">
        <f t="shared" si="2"/>
        <v>0</v>
      </c>
      <c r="Q33" s="38">
        <f t="shared" si="3"/>
        <v>0</v>
      </c>
      <c r="R33" s="38">
        <f t="shared" si="4"/>
        <v>0</v>
      </c>
      <c r="S33" s="16" t="str">
        <f t="shared" si="5"/>
        <v>Leistungswert eintragen</v>
      </c>
      <c r="U33" s="16">
        <f t="shared" si="6"/>
        <v>7</v>
      </c>
      <c r="V33" s="16">
        <f t="shared" si="7"/>
        <v>2.1</v>
      </c>
      <c r="W33" s="16">
        <f t="shared" si="8"/>
        <v>9.1</v>
      </c>
      <c r="X33" s="16" t="str">
        <f t="shared" si="9"/>
        <v/>
      </c>
    </row>
    <row r="34" spans="1:24" ht="15" customHeight="1" x14ac:dyDescent="0.2">
      <c r="A34" s="78">
        <v>13</v>
      </c>
      <c r="B34" s="95">
        <v>18</v>
      </c>
      <c r="C34" s="89" t="s">
        <v>318</v>
      </c>
      <c r="D34" s="89" t="s">
        <v>319</v>
      </c>
      <c r="E34" s="89" t="s">
        <v>237</v>
      </c>
      <c r="F34" s="89" t="s">
        <v>227</v>
      </c>
      <c r="G34" s="90">
        <v>9.6999999999999993</v>
      </c>
      <c r="H34" s="90"/>
      <c r="I34" s="90"/>
      <c r="J34" s="78" t="s">
        <v>312</v>
      </c>
      <c r="K34" s="78" t="s">
        <v>160</v>
      </c>
      <c r="L34" s="38">
        <f>VLOOKUP(K34,Reinigungstage!A10:E31,5,FALSE)</f>
        <v>1</v>
      </c>
      <c r="M34" s="38">
        <f t="shared" si="0"/>
        <v>9.6999999999999993</v>
      </c>
      <c r="N34" s="92">
        <f t="shared" si="1"/>
        <v>0</v>
      </c>
      <c r="O34" s="38">
        <f ca="1">IF('SVS GrundRG'!H61="",0,'SVS GrundRG'!H61)</f>
        <v>0</v>
      </c>
      <c r="P34" s="38">
        <f t="shared" si="2"/>
        <v>0</v>
      </c>
      <c r="Q34" s="38">
        <f t="shared" si="3"/>
        <v>0</v>
      </c>
      <c r="R34" s="38">
        <f t="shared" si="4"/>
        <v>0</v>
      </c>
      <c r="S34" s="16" t="str">
        <f t="shared" si="5"/>
        <v>Leistungswert eintragen</v>
      </c>
      <c r="U34" s="16">
        <f t="shared" si="6"/>
        <v>7</v>
      </c>
      <c r="V34" s="16">
        <f t="shared" si="7"/>
        <v>2.1</v>
      </c>
      <c r="W34" s="16">
        <f t="shared" si="8"/>
        <v>9.1</v>
      </c>
      <c r="X34" s="16" t="str">
        <f t="shared" si="9"/>
        <v/>
      </c>
    </row>
    <row r="35" spans="1:24" ht="15" customHeight="1" x14ac:dyDescent="0.2">
      <c r="A35" s="78">
        <v>14</v>
      </c>
      <c r="B35" s="95">
        <v>19</v>
      </c>
      <c r="C35" s="89" t="s">
        <v>318</v>
      </c>
      <c r="D35" s="89" t="s">
        <v>319</v>
      </c>
      <c r="E35" s="89" t="s">
        <v>335</v>
      </c>
      <c r="F35" s="89" t="s">
        <v>227</v>
      </c>
      <c r="G35" s="90">
        <v>5.61</v>
      </c>
      <c r="H35" s="90"/>
      <c r="I35" s="90"/>
      <c r="J35" s="78" t="s">
        <v>313</v>
      </c>
      <c r="K35" s="78" t="s">
        <v>160</v>
      </c>
      <c r="L35" s="38">
        <f>VLOOKUP(K35,Reinigungstage!A10:E31,5,FALSE)</f>
        <v>1</v>
      </c>
      <c r="M35" s="38">
        <f t="shared" si="0"/>
        <v>5.61</v>
      </c>
      <c r="N35" s="92">
        <f t="shared" si="1"/>
        <v>0</v>
      </c>
      <c r="O35" s="38">
        <f ca="1">IF('SVS GrundRG'!H61="",0,'SVS GrundRG'!H61)</f>
        <v>0</v>
      </c>
      <c r="P35" s="38">
        <f t="shared" si="2"/>
        <v>0</v>
      </c>
      <c r="Q35" s="38">
        <f t="shared" si="3"/>
        <v>0</v>
      </c>
      <c r="R35" s="38">
        <f t="shared" si="4"/>
        <v>0</v>
      </c>
      <c r="S35" s="16" t="str">
        <f t="shared" si="5"/>
        <v>Leistungswert eintragen</v>
      </c>
      <c r="U35" s="16">
        <f t="shared" si="6"/>
        <v>24</v>
      </c>
      <c r="V35" s="16">
        <f t="shared" si="7"/>
        <v>7.1999999999999993</v>
      </c>
      <c r="W35" s="16">
        <f t="shared" si="8"/>
        <v>31.2</v>
      </c>
      <c r="X35" s="16" t="str">
        <f t="shared" si="9"/>
        <v/>
      </c>
    </row>
    <row r="36" spans="1:24" ht="15" customHeight="1" x14ac:dyDescent="0.2">
      <c r="A36" s="78">
        <v>15</v>
      </c>
      <c r="B36" s="95">
        <v>20</v>
      </c>
      <c r="C36" s="89" t="s">
        <v>318</v>
      </c>
      <c r="D36" s="89" t="s">
        <v>319</v>
      </c>
      <c r="E36" s="89" t="s">
        <v>335</v>
      </c>
      <c r="F36" s="89" t="s">
        <v>227</v>
      </c>
      <c r="G36" s="90">
        <v>5.57</v>
      </c>
      <c r="H36" s="90"/>
      <c r="I36" s="90"/>
      <c r="J36" s="78" t="s">
        <v>313</v>
      </c>
      <c r="K36" s="78" t="s">
        <v>160</v>
      </c>
      <c r="L36" s="38">
        <f>VLOOKUP(K36,Reinigungstage!A10:E31,5,FALSE)</f>
        <v>1</v>
      </c>
      <c r="M36" s="38">
        <f t="shared" si="0"/>
        <v>5.57</v>
      </c>
      <c r="N36" s="92">
        <f t="shared" si="1"/>
        <v>0</v>
      </c>
      <c r="O36" s="38">
        <f ca="1">IF('SVS GrundRG'!H61="",0,'SVS GrundRG'!H61)</f>
        <v>0</v>
      </c>
      <c r="P36" s="38">
        <f t="shared" si="2"/>
        <v>0</v>
      </c>
      <c r="Q36" s="38">
        <f t="shared" si="3"/>
        <v>0</v>
      </c>
      <c r="R36" s="38">
        <f t="shared" si="4"/>
        <v>0</v>
      </c>
      <c r="S36" s="16" t="str">
        <f t="shared" si="5"/>
        <v>Leistungswert eintragen</v>
      </c>
      <c r="U36" s="16">
        <f t="shared" si="6"/>
        <v>24</v>
      </c>
      <c r="V36" s="16">
        <f t="shared" si="7"/>
        <v>7.1999999999999993</v>
      </c>
      <c r="W36" s="16">
        <f t="shared" si="8"/>
        <v>31.2</v>
      </c>
      <c r="X36" s="16" t="str">
        <f t="shared" si="9"/>
        <v/>
      </c>
    </row>
    <row r="37" spans="1:24" ht="15" customHeight="1" x14ac:dyDescent="0.2">
      <c r="A37" s="78">
        <v>16</v>
      </c>
      <c r="B37" s="95">
        <v>21</v>
      </c>
      <c r="C37" s="89" t="s">
        <v>318</v>
      </c>
      <c r="D37" s="89" t="s">
        <v>319</v>
      </c>
      <c r="E37" s="89" t="s">
        <v>335</v>
      </c>
      <c r="F37" s="89" t="s">
        <v>227</v>
      </c>
      <c r="G37" s="90">
        <v>7.78</v>
      </c>
      <c r="H37" s="90"/>
      <c r="I37" s="90"/>
      <c r="J37" s="78" t="s">
        <v>313</v>
      </c>
      <c r="K37" s="78" t="s">
        <v>160</v>
      </c>
      <c r="L37" s="38">
        <f>VLOOKUP(K37,Reinigungstage!A10:E31,5,FALSE)</f>
        <v>1</v>
      </c>
      <c r="M37" s="38">
        <f t="shared" si="0"/>
        <v>7.78</v>
      </c>
      <c r="N37" s="92">
        <f t="shared" si="1"/>
        <v>0</v>
      </c>
      <c r="O37" s="38">
        <f ca="1">IF('SVS GrundRG'!H61="",0,'SVS GrundRG'!H61)</f>
        <v>0</v>
      </c>
      <c r="P37" s="38">
        <f t="shared" si="2"/>
        <v>0</v>
      </c>
      <c r="Q37" s="38">
        <f t="shared" si="3"/>
        <v>0</v>
      </c>
      <c r="R37" s="38">
        <f t="shared" si="4"/>
        <v>0</v>
      </c>
      <c r="S37" s="16" t="str">
        <f t="shared" si="5"/>
        <v>Leistungswert eintragen</v>
      </c>
      <c r="U37" s="16">
        <f t="shared" si="6"/>
        <v>24</v>
      </c>
      <c r="V37" s="16">
        <f t="shared" si="7"/>
        <v>7.1999999999999993</v>
      </c>
      <c r="W37" s="16">
        <f t="shared" si="8"/>
        <v>31.2</v>
      </c>
      <c r="X37" s="16" t="str">
        <f t="shared" si="9"/>
        <v/>
      </c>
    </row>
    <row r="38" spans="1:24" ht="15" customHeight="1" x14ac:dyDescent="0.2">
      <c r="A38" s="78">
        <v>17</v>
      </c>
      <c r="B38" s="88">
        <v>101</v>
      </c>
      <c r="C38" s="89" t="s">
        <v>276</v>
      </c>
      <c r="D38" s="89" t="s">
        <v>319</v>
      </c>
      <c r="E38" s="89" t="s">
        <v>320</v>
      </c>
      <c r="F38" s="89" t="s">
        <v>227</v>
      </c>
      <c r="G38" s="90">
        <v>17.940000000000001</v>
      </c>
      <c r="H38" s="90"/>
      <c r="I38" s="90"/>
      <c r="J38" s="78" t="s">
        <v>307</v>
      </c>
      <c r="K38" s="78" t="s">
        <v>160</v>
      </c>
      <c r="L38" s="38">
        <f>VLOOKUP(K38,Reinigungstage!A10:E31,5,FALSE)</f>
        <v>1</v>
      </c>
      <c r="M38" s="38">
        <f t="shared" si="0"/>
        <v>17.940000000000001</v>
      </c>
      <c r="N38" s="92">
        <f t="shared" si="1"/>
        <v>0</v>
      </c>
      <c r="O38" s="38">
        <f ca="1">IF('SVS GrundRG'!H61="",0,'SVS GrundRG'!H61)</f>
        <v>0</v>
      </c>
      <c r="P38" s="38">
        <f t="shared" si="2"/>
        <v>0</v>
      </c>
      <c r="Q38" s="38">
        <f t="shared" si="3"/>
        <v>0</v>
      </c>
      <c r="R38" s="38">
        <f t="shared" si="4"/>
        <v>0</v>
      </c>
      <c r="S38" s="16" t="str">
        <f t="shared" si="5"/>
        <v>Leistungswert eintragen</v>
      </c>
      <c r="U38" s="16">
        <f t="shared" si="6"/>
        <v>14</v>
      </c>
      <c r="V38" s="16">
        <f t="shared" si="7"/>
        <v>4.2</v>
      </c>
      <c r="W38" s="16">
        <f t="shared" si="8"/>
        <v>18.2</v>
      </c>
      <c r="X38" s="16" t="str">
        <f t="shared" si="9"/>
        <v/>
      </c>
    </row>
    <row r="39" spans="1:24" ht="15" customHeight="1" x14ac:dyDescent="0.2">
      <c r="A39" s="78">
        <v>18</v>
      </c>
      <c r="B39" s="88">
        <v>102</v>
      </c>
      <c r="C39" s="89" t="s">
        <v>276</v>
      </c>
      <c r="D39" s="89" t="s">
        <v>319</v>
      </c>
      <c r="E39" s="89" t="s">
        <v>321</v>
      </c>
      <c r="F39" s="89" t="s">
        <v>227</v>
      </c>
      <c r="G39" s="90">
        <v>7.52</v>
      </c>
      <c r="H39" s="90"/>
      <c r="I39" s="90"/>
      <c r="J39" s="78" t="s">
        <v>313</v>
      </c>
      <c r="K39" s="78" t="s">
        <v>160</v>
      </c>
      <c r="L39" s="38">
        <f>VLOOKUP(K39,Reinigungstage!A10:E31,5,FALSE)</f>
        <v>1</v>
      </c>
      <c r="M39" s="38">
        <f t="shared" si="0"/>
        <v>7.52</v>
      </c>
      <c r="N39" s="92">
        <f t="shared" si="1"/>
        <v>0</v>
      </c>
      <c r="O39" s="38">
        <f ca="1">IF('SVS GrundRG'!H61="",0,'SVS GrundRG'!H61)</f>
        <v>0</v>
      </c>
      <c r="P39" s="38">
        <f t="shared" si="2"/>
        <v>0</v>
      </c>
      <c r="Q39" s="38">
        <f t="shared" si="3"/>
        <v>0</v>
      </c>
      <c r="R39" s="38">
        <f t="shared" si="4"/>
        <v>0</v>
      </c>
      <c r="S39" s="16" t="str">
        <f t="shared" si="5"/>
        <v>Leistungswert eintragen</v>
      </c>
      <c r="U39" s="16">
        <f t="shared" si="6"/>
        <v>24</v>
      </c>
      <c r="V39" s="16">
        <f t="shared" si="7"/>
        <v>7.1999999999999993</v>
      </c>
      <c r="W39" s="16">
        <f t="shared" si="8"/>
        <v>31.2</v>
      </c>
      <c r="X39" s="16" t="str">
        <f t="shared" si="9"/>
        <v/>
      </c>
    </row>
    <row r="40" spans="1:24" ht="15" customHeight="1" x14ac:dyDescent="0.2">
      <c r="A40" s="78">
        <v>19</v>
      </c>
      <c r="B40" s="88">
        <v>103</v>
      </c>
      <c r="C40" s="89" t="s">
        <v>276</v>
      </c>
      <c r="D40" s="89" t="s">
        <v>319</v>
      </c>
      <c r="E40" s="89" t="s">
        <v>321</v>
      </c>
      <c r="F40" s="89" t="s">
        <v>227</v>
      </c>
      <c r="G40" s="90">
        <v>7.83</v>
      </c>
      <c r="H40" s="90"/>
      <c r="I40" s="90"/>
      <c r="J40" s="78" t="s">
        <v>313</v>
      </c>
      <c r="K40" s="78" t="s">
        <v>160</v>
      </c>
      <c r="L40" s="38">
        <f>VLOOKUP(K40,Reinigungstage!A10:E31,5,FALSE)</f>
        <v>1</v>
      </c>
      <c r="M40" s="38">
        <f t="shared" si="0"/>
        <v>7.83</v>
      </c>
      <c r="N40" s="92">
        <f t="shared" si="1"/>
        <v>0</v>
      </c>
      <c r="O40" s="38">
        <f ca="1">IF('SVS GrundRG'!H61="",0,'SVS GrundRG'!H61)</f>
        <v>0</v>
      </c>
      <c r="P40" s="38">
        <f t="shared" si="2"/>
        <v>0</v>
      </c>
      <c r="Q40" s="38">
        <f t="shared" si="3"/>
        <v>0</v>
      </c>
      <c r="R40" s="38">
        <f t="shared" si="4"/>
        <v>0</v>
      </c>
      <c r="S40" s="16" t="str">
        <f t="shared" si="5"/>
        <v>Leistungswert eintragen</v>
      </c>
      <c r="U40" s="16">
        <f t="shared" si="6"/>
        <v>24</v>
      </c>
      <c r="V40" s="16">
        <f t="shared" si="7"/>
        <v>7.1999999999999993</v>
      </c>
      <c r="W40" s="16">
        <f t="shared" si="8"/>
        <v>31.2</v>
      </c>
      <c r="X40" s="16" t="str">
        <f t="shared" si="9"/>
        <v/>
      </c>
    </row>
    <row r="41" spans="1:24" ht="21" x14ac:dyDescent="0.2">
      <c r="A41" s="78">
        <v>20</v>
      </c>
      <c r="B41" s="88">
        <v>104</v>
      </c>
      <c r="C41" s="89" t="s">
        <v>276</v>
      </c>
      <c r="D41" s="89" t="s">
        <v>319</v>
      </c>
      <c r="E41" s="89" t="s">
        <v>338</v>
      </c>
      <c r="F41" s="89" t="s">
        <v>229</v>
      </c>
      <c r="G41" s="90">
        <v>62.93</v>
      </c>
      <c r="H41" s="90"/>
      <c r="I41" s="90"/>
      <c r="J41" s="78" t="s">
        <v>311</v>
      </c>
      <c r="K41" s="78" t="s">
        <v>160</v>
      </c>
      <c r="L41" s="38">
        <f>VLOOKUP(K41,Reinigungstage!A10:E31,5,FALSE)</f>
        <v>1</v>
      </c>
      <c r="M41" s="38">
        <f t="shared" si="0"/>
        <v>62.93</v>
      </c>
      <c r="N41" s="92">
        <f t="shared" si="1"/>
        <v>0</v>
      </c>
      <c r="O41" s="38">
        <f ca="1">IF('SVS GrundRG'!H61="",0,'SVS GrundRG'!H61)</f>
        <v>0</v>
      </c>
      <c r="P41" s="38">
        <f t="shared" si="2"/>
        <v>0</v>
      </c>
      <c r="Q41" s="38">
        <f t="shared" si="3"/>
        <v>0</v>
      </c>
      <c r="R41" s="38">
        <f t="shared" si="4"/>
        <v>0</v>
      </c>
      <c r="S41" s="16" t="str">
        <f t="shared" si="5"/>
        <v>Leistungswert eintragen</v>
      </c>
      <c r="U41" s="16">
        <f t="shared" si="6"/>
        <v>15</v>
      </c>
      <c r="V41" s="16">
        <f t="shared" si="7"/>
        <v>4.5</v>
      </c>
      <c r="W41" s="16">
        <f t="shared" si="8"/>
        <v>19.5</v>
      </c>
      <c r="X41" s="16" t="str">
        <f t="shared" si="9"/>
        <v/>
      </c>
    </row>
    <row r="42" spans="1:24" ht="21" x14ac:dyDescent="0.2">
      <c r="A42" s="78">
        <v>21</v>
      </c>
      <c r="B42" s="88">
        <v>105</v>
      </c>
      <c r="C42" s="89" t="s">
        <v>276</v>
      </c>
      <c r="D42" s="89" t="s">
        <v>319</v>
      </c>
      <c r="E42" s="89" t="s">
        <v>339</v>
      </c>
      <c r="F42" s="89" t="s">
        <v>229</v>
      </c>
      <c r="G42" s="90">
        <v>48.21</v>
      </c>
      <c r="H42" s="90"/>
      <c r="I42" s="90"/>
      <c r="J42" s="78" t="s">
        <v>311</v>
      </c>
      <c r="K42" s="78" t="s">
        <v>160</v>
      </c>
      <c r="L42" s="38">
        <f>VLOOKUP(K42,Reinigungstage!A10:E31,5,FALSE)</f>
        <v>1</v>
      </c>
      <c r="M42" s="38">
        <f t="shared" si="0"/>
        <v>48.21</v>
      </c>
      <c r="N42" s="92">
        <f t="shared" si="1"/>
        <v>0</v>
      </c>
      <c r="O42" s="38">
        <f ca="1">IF('SVS GrundRG'!H61="",0,'SVS GrundRG'!H61)</f>
        <v>0</v>
      </c>
      <c r="P42" s="38">
        <f t="shared" si="2"/>
        <v>0</v>
      </c>
      <c r="Q42" s="38">
        <f t="shared" si="3"/>
        <v>0</v>
      </c>
      <c r="R42" s="38">
        <f t="shared" si="4"/>
        <v>0</v>
      </c>
      <c r="S42" s="16" t="str">
        <f t="shared" si="5"/>
        <v>Leistungswert eintragen</v>
      </c>
      <c r="U42" s="16">
        <f t="shared" si="6"/>
        <v>15</v>
      </c>
      <c r="V42" s="16">
        <f t="shared" si="7"/>
        <v>4.5</v>
      </c>
      <c r="W42" s="16">
        <f t="shared" si="8"/>
        <v>19.5</v>
      </c>
      <c r="X42" s="16" t="str">
        <f t="shared" si="9"/>
        <v/>
      </c>
    </row>
    <row r="43" spans="1:24" ht="15" customHeight="1" x14ac:dyDescent="0.2">
      <c r="A43" s="78">
        <v>22</v>
      </c>
      <c r="B43" s="88">
        <v>106</v>
      </c>
      <c r="C43" s="89" t="s">
        <v>276</v>
      </c>
      <c r="D43" s="89" t="s">
        <v>319</v>
      </c>
      <c r="E43" s="89" t="s">
        <v>340</v>
      </c>
      <c r="F43" s="89" t="s">
        <v>227</v>
      </c>
      <c r="G43" s="90">
        <v>48.84</v>
      </c>
      <c r="H43" s="90"/>
      <c r="I43" s="90"/>
      <c r="J43" s="78" t="s">
        <v>311</v>
      </c>
      <c r="K43" s="78" t="s">
        <v>160</v>
      </c>
      <c r="L43" s="38">
        <f>VLOOKUP(K43,Reinigungstage!A10:E31,5,FALSE)</f>
        <v>1</v>
      </c>
      <c r="M43" s="38">
        <f t="shared" si="0"/>
        <v>48.84</v>
      </c>
      <c r="N43" s="92">
        <f t="shared" si="1"/>
        <v>0</v>
      </c>
      <c r="O43" s="38">
        <f ca="1">IF('SVS GrundRG'!H61="",0,'SVS GrundRG'!H61)</f>
        <v>0</v>
      </c>
      <c r="P43" s="38">
        <f t="shared" si="2"/>
        <v>0</v>
      </c>
      <c r="Q43" s="38">
        <f t="shared" si="3"/>
        <v>0</v>
      </c>
      <c r="R43" s="38">
        <f t="shared" si="4"/>
        <v>0</v>
      </c>
      <c r="S43" s="16" t="str">
        <f t="shared" si="5"/>
        <v>Leistungswert eintragen</v>
      </c>
      <c r="U43" s="16">
        <f t="shared" si="6"/>
        <v>15</v>
      </c>
      <c r="V43" s="16">
        <f t="shared" si="7"/>
        <v>4.5</v>
      </c>
      <c r="W43" s="16">
        <f t="shared" si="8"/>
        <v>19.5</v>
      </c>
      <c r="X43" s="16" t="str">
        <f t="shared" si="9"/>
        <v/>
      </c>
    </row>
    <row r="44" spans="1:24" ht="15" customHeight="1" x14ac:dyDescent="0.2">
      <c r="A44" s="78">
        <v>23</v>
      </c>
      <c r="B44" s="88">
        <v>107</v>
      </c>
      <c r="C44" s="89" t="s">
        <v>276</v>
      </c>
      <c r="D44" s="89" t="s">
        <v>319</v>
      </c>
      <c r="E44" s="89" t="s">
        <v>341</v>
      </c>
      <c r="F44" s="89" t="s">
        <v>229</v>
      </c>
      <c r="G44" s="90">
        <v>18.27</v>
      </c>
      <c r="H44" s="90"/>
      <c r="I44" s="90"/>
      <c r="J44" s="78" t="s">
        <v>313</v>
      </c>
      <c r="K44" s="78" t="s">
        <v>160</v>
      </c>
      <c r="L44" s="38">
        <f>VLOOKUP(K44,Reinigungstage!A10:E31,5,FALSE)</f>
        <v>1</v>
      </c>
      <c r="M44" s="38">
        <f t="shared" si="0"/>
        <v>18.27</v>
      </c>
      <c r="N44" s="92">
        <f t="shared" si="1"/>
        <v>0</v>
      </c>
      <c r="O44" s="38">
        <f ca="1">IF('SVS GrundRG'!H61="",0,'SVS GrundRG'!H61)</f>
        <v>0</v>
      </c>
      <c r="P44" s="38">
        <f t="shared" si="2"/>
        <v>0</v>
      </c>
      <c r="Q44" s="38">
        <f t="shared" si="3"/>
        <v>0</v>
      </c>
      <c r="R44" s="38">
        <f t="shared" si="4"/>
        <v>0</v>
      </c>
      <c r="S44" s="16" t="str">
        <f t="shared" si="5"/>
        <v>Leistungswert eintragen</v>
      </c>
      <c r="U44" s="16">
        <f t="shared" si="6"/>
        <v>24</v>
      </c>
      <c r="V44" s="16">
        <f t="shared" si="7"/>
        <v>7.1999999999999993</v>
      </c>
      <c r="W44" s="16">
        <f t="shared" si="8"/>
        <v>31.2</v>
      </c>
      <c r="X44" s="16" t="str">
        <f t="shared" si="9"/>
        <v/>
      </c>
    </row>
    <row r="45" spans="1:24" ht="15" customHeight="1" x14ac:dyDescent="0.2">
      <c r="A45" s="78">
        <v>24</v>
      </c>
      <c r="B45" s="88">
        <v>108</v>
      </c>
      <c r="C45" s="89" t="s">
        <v>276</v>
      </c>
      <c r="D45" s="89" t="s">
        <v>319</v>
      </c>
      <c r="E45" s="89" t="s">
        <v>342</v>
      </c>
      <c r="F45" s="89" t="s">
        <v>229</v>
      </c>
      <c r="G45" s="90">
        <v>13.62</v>
      </c>
      <c r="H45" s="90"/>
      <c r="I45" s="90"/>
      <c r="J45" s="78" t="s">
        <v>309</v>
      </c>
      <c r="K45" s="78" t="s">
        <v>160</v>
      </c>
      <c r="L45" s="38">
        <f>VLOOKUP(K45,Reinigungstage!A10:E31,5,FALSE)</f>
        <v>1</v>
      </c>
      <c r="M45" s="38">
        <f t="shared" si="0"/>
        <v>13.62</v>
      </c>
      <c r="N45" s="92">
        <f t="shared" si="1"/>
        <v>0</v>
      </c>
      <c r="O45" s="38">
        <f ca="1">IF('SVS GrundRG'!H61="",0,'SVS GrundRG'!H61)</f>
        <v>0</v>
      </c>
      <c r="P45" s="38">
        <f t="shared" si="2"/>
        <v>0</v>
      </c>
      <c r="Q45" s="38">
        <f t="shared" si="3"/>
        <v>0</v>
      </c>
      <c r="R45" s="38">
        <f t="shared" si="4"/>
        <v>0</v>
      </c>
      <c r="S45" s="16" t="str">
        <f t="shared" si="5"/>
        <v>Leistungswert eintragen</v>
      </c>
      <c r="U45" s="16">
        <f t="shared" si="6"/>
        <v>15</v>
      </c>
      <c r="V45" s="16">
        <f t="shared" si="7"/>
        <v>4.5</v>
      </c>
      <c r="W45" s="16">
        <f t="shared" si="8"/>
        <v>19.5</v>
      </c>
      <c r="X45" s="16" t="str">
        <f t="shared" si="9"/>
        <v/>
      </c>
    </row>
    <row r="46" spans="1:24" ht="15" customHeight="1" x14ac:dyDescent="0.2">
      <c r="A46" s="78">
        <v>25</v>
      </c>
      <c r="B46" s="88">
        <v>109</v>
      </c>
      <c r="C46" s="89" t="s">
        <v>276</v>
      </c>
      <c r="D46" s="89" t="s">
        <v>319</v>
      </c>
      <c r="E46" s="89" t="s">
        <v>320</v>
      </c>
      <c r="F46" s="89" t="s">
        <v>227</v>
      </c>
      <c r="G46" s="90">
        <v>14.21</v>
      </c>
      <c r="H46" s="90"/>
      <c r="I46" s="90"/>
      <c r="J46" s="78" t="s">
        <v>307</v>
      </c>
      <c r="K46" s="78" t="s">
        <v>160</v>
      </c>
      <c r="L46" s="38">
        <f>VLOOKUP(K46,Reinigungstage!A10:E31,5,FALSE)</f>
        <v>1</v>
      </c>
      <c r="M46" s="38">
        <f t="shared" ref="M46:M69" si="10">ROUND(IF(L46=0,0,L46*G46),2)</f>
        <v>14.21</v>
      </c>
      <c r="N46" s="92">
        <f t="shared" ref="N46:N69" si="11">VLOOKUP(J46,$G$4:$H$13,2,FALSE)</f>
        <v>0</v>
      </c>
      <c r="O46" s="38">
        <f ca="1">IF('SVS GrundRG'!H61="",0,'SVS GrundRG'!H61)</f>
        <v>0</v>
      </c>
      <c r="P46" s="38">
        <f t="shared" ref="P46:P69" si="12">ROUND(IF(N46=0,0,M46/N46),2)</f>
        <v>0</v>
      </c>
      <c r="Q46" s="38">
        <f t="shared" ref="Q46:Q69" si="13">ROUND(IF(P46=0,0,P46*O46),2)</f>
        <v>0</v>
      </c>
      <c r="R46" s="38">
        <f t="shared" ref="R46:R69" si="14">ROUND(IF(P46=0,0,Q46/L46),2)</f>
        <v>0</v>
      </c>
      <c r="S46" s="16" t="str">
        <f t="shared" ref="S46:S69" si="15">IF(M46=0,"",IF(N46=0,"Leistungswert eintragen",IF(O46=0,"SVS prüfen","")))</f>
        <v>Leistungswert eintragen</v>
      </c>
      <c r="U46" s="16">
        <f t="shared" ref="U46:U69" si="16">VLOOKUP(J46,$U$4:$V$13,2,FALSE)</f>
        <v>14</v>
      </c>
      <c r="V46" s="16">
        <f t="shared" ref="V46:V69" si="17">U46*30%</f>
        <v>4.2</v>
      </c>
      <c r="W46" s="16">
        <f t="shared" ref="W46:W69" si="18">SUM(U46:V46)</f>
        <v>18.2</v>
      </c>
      <c r="X46" s="16" t="str">
        <f t="shared" ref="X46:X69" si="19">IF(N46=0,"",IF(W46&lt;N46,1,IF(W46&gt;=N46,0,"")))</f>
        <v/>
      </c>
    </row>
    <row r="47" spans="1:24" ht="15" customHeight="1" x14ac:dyDescent="0.2">
      <c r="A47" s="78">
        <v>26</v>
      </c>
      <c r="B47" s="88">
        <v>111</v>
      </c>
      <c r="C47" s="89" t="s">
        <v>276</v>
      </c>
      <c r="D47" s="89" t="s">
        <v>319</v>
      </c>
      <c r="E47" s="89" t="s">
        <v>321</v>
      </c>
      <c r="F47" s="89" t="s">
        <v>229</v>
      </c>
      <c r="G47" s="90">
        <v>63.73</v>
      </c>
      <c r="H47" s="90"/>
      <c r="I47" s="90"/>
      <c r="J47" s="78" t="s">
        <v>313</v>
      </c>
      <c r="K47" s="78" t="s">
        <v>160</v>
      </c>
      <c r="L47" s="38">
        <f>VLOOKUP(K47,Reinigungstage!A10:E31,5,FALSE)</f>
        <v>1</v>
      </c>
      <c r="M47" s="38">
        <f t="shared" si="10"/>
        <v>63.73</v>
      </c>
      <c r="N47" s="92">
        <f t="shared" si="11"/>
        <v>0</v>
      </c>
      <c r="O47" s="38">
        <f ca="1">IF('SVS GrundRG'!H61="",0,'SVS GrundRG'!H61)</f>
        <v>0</v>
      </c>
      <c r="P47" s="38">
        <f t="shared" si="12"/>
        <v>0</v>
      </c>
      <c r="Q47" s="38">
        <f t="shared" si="13"/>
        <v>0</v>
      </c>
      <c r="R47" s="38">
        <f t="shared" si="14"/>
        <v>0</v>
      </c>
      <c r="S47" s="16" t="str">
        <f t="shared" si="15"/>
        <v>Leistungswert eintragen</v>
      </c>
      <c r="U47" s="16">
        <f t="shared" si="16"/>
        <v>24</v>
      </c>
      <c r="V47" s="16">
        <f t="shared" si="17"/>
        <v>7.1999999999999993</v>
      </c>
      <c r="W47" s="16">
        <f t="shared" si="18"/>
        <v>31.2</v>
      </c>
      <c r="X47" s="16" t="str">
        <f t="shared" si="19"/>
        <v/>
      </c>
    </row>
    <row r="48" spans="1:24" ht="15" customHeight="1" x14ac:dyDescent="0.2">
      <c r="A48" s="78">
        <v>27</v>
      </c>
      <c r="B48" s="88">
        <v>112</v>
      </c>
      <c r="C48" s="89" t="s">
        <v>276</v>
      </c>
      <c r="D48" s="89" t="s">
        <v>319</v>
      </c>
      <c r="E48" s="89" t="s">
        <v>345</v>
      </c>
      <c r="F48" s="89" t="s">
        <v>227</v>
      </c>
      <c r="G48" s="90">
        <v>3.96</v>
      </c>
      <c r="H48" s="90"/>
      <c r="I48" s="90"/>
      <c r="J48" s="78" t="s">
        <v>313</v>
      </c>
      <c r="K48" s="78" t="s">
        <v>160</v>
      </c>
      <c r="L48" s="38">
        <f>VLOOKUP(K48,Reinigungstage!A10:E31,5,FALSE)</f>
        <v>1</v>
      </c>
      <c r="M48" s="38">
        <f t="shared" si="10"/>
        <v>3.96</v>
      </c>
      <c r="N48" s="92">
        <f t="shared" si="11"/>
        <v>0</v>
      </c>
      <c r="O48" s="38">
        <f ca="1">IF('SVS GrundRG'!H61="",0,'SVS GrundRG'!H61)</f>
        <v>0</v>
      </c>
      <c r="P48" s="38">
        <f t="shared" si="12"/>
        <v>0</v>
      </c>
      <c r="Q48" s="38">
        <f t="shared" si="13"/>
        <v>0</v>
      </c>
      <c r="R48" s="38">
        <f t="shared" si="14"/>
        <v>0</v>
      </c>
      <c r="S48" s="16" t="str">
        <f t="shared" si="15"/>
        <v>Leistungswert eintragen</v>
      </c>
      <c r="U48" s="16">
        <f t="shared" si="16"/>
        <v>24</v>
      </c>
      <c r="V48" s="16">
        <f t="shared" si="17"/>
        <v>7.1999999999999993</v>
      </c>
      <c r="W48" s="16">
        <f t="shared" si="18"/>
        <v>31.2</v>
      </c>
      <c r="X48" s="16" t="str">
        <f t="shared" si="19"/>
        <v/>
      </c>
    </row>
    <row r="49" spans="1:24" ht="15" customHeight="1" x14ac:dyDescent="0.2">
      <c r="A49" s="78">
        <v>28</v>
      </c>
      <c r="B49" s="88" t="s">
        <v>346</v>
      </c>
      <c r="C49" s="89" t="s">
        <v>276</v>
      </c>
      <c r="D49" s="89" t="s">
        <v>319</v>
      </c>
      <c r="E49" s="89" t="s">
        <v>347</v>
      </c>
      <c r="F49" s="89" t="s">
        <v>229</v>
      </c>
      <c r="G49" s="90">
        <v>4.28</v>
      </c>
      <c r="H49" s="90"/>
      <c r="I49" s="90"/>
      <c r="J49" s="78" t="s">
        <v>307</v>
      </c>
      <c r="K49" s="78" t="s">
        <v>160</v>
      </c>
      <c r="L49" s="38">
        <f>VLOOKUP(K49,Reinigungstage!A10:E31,5,FALSE)</f>
        <v>1</v>
      </c>
      <c r="M49" s="38">
        <f t="shared" si="10"/>
        <v>4.28</v>
      </c>
      <c r="N49" s="92">
        <f t="shared" si="11"/>
        <v>0</v>
      </c>
      <c r="O49" s="38">
        <f ca="1">IF('SVS GrundRG'!H61="",0,'SVS GrundRG'!H61)</f>
        <v>0</v>
      </c>
      <c r="P49" s="38">
        <f t="shared" si="12"/>
        <v>0</v>
      </c>
      <c r="Q49" s="38">
        <f t="shared" si="13"/>
        <v>0</v>
      </c>
      <c r="R49" s="38">
        <f t="shared" si="14"/>
        <v>0</v>
      </c>
      <c r="S49" s="16" t="str">
        <f t="shared" si="15"/>
        <v>Leistungswert eintragen</v>
      </c>
      <c r="U49" s="16">
        <f t="shared" si="16"/>
        <v>14</v>
      </c>
      <c r="V49" s="16">
        <f t="shared" si="17"/>
        <v>4.2</v>
      </c>
      <c r="W49" s="16">
        <f t="shared" si="18"/>
        <v>18.2</v>
      </c>
      <c r="X49" s="16" t="str">
        <f t="shared" si="19"/>
        <v/>
      </c>
    </row>
    <row r="50" spans="1:24" ht="15" customHeight="1" x14ac:dyDescent="0.2">
      <c r="A50" s="78">
        <v>29</v>
      </c>
      <c r="B50" s="88">
        <v>201</v>
      </c>
      <c r="C50" s="89" t="s">
        <v>348</v>
      </c>
      <c r="D50" s="89" t="s">
        <v>319</v>
      </c>
      <c r="E50" s="89" t="s">
        <v>320</v>
      </c>
      <c r="F50" s="89" t="s">
        <v>227</v>
      </c>
      <c r="G50" s="90">
        <v>9.75</v>
      </c>
      <c r="H50" s="90"/>
      <c r="I50" s="90"/>
      <c r="J50" s="78" t="s">
        <v>307</v>
      </c>
      <c r="K50" s="78" t="s">
        <v>160</v>
      </c>
      <c r="L50" s="38">
        <f>VLOOKUP(K50,Reinigungstage!A10:E31,5,FALSE)</f>
        <v>1</v>
      </c>
      <c r="M50" s="38">
        <f t="shared" si="10"/>
        <v>9.75</v>
      </c>
      <c r="N50" s="92">
        <f t="shared" si="11"/>
        <v>0</v>
      </c>
      <c r="O50" s="38">
        <f ca="1">IF('SVS GrundRG'!H61="",0,'SVS GrundRG'!H61)</f>
        <v>0</v>
      </c>
      <c r="P50" s="38">
        <f t="shared" si="12"/>
        <v>0</v>
      </c>
      <c r="Q50" s="38">
        <f t="shared" si="13"/>
        <v>0</v>
      </c>
      <c r="R50" s="38">
        <f t="shared" si="14"/>
        <v>0</v>
      </c>
      <c r="S50" s="16" t="str">
        <f t="shared" si="15"/>
        <v>Leistungswert eintragen</v>
      </c>
      <c r="U50" s="16">
        <f t="shared" si="16"/>
        <v>14</v>
      </c>
      <c r="V50" s="16">
        <f t="shared" si="17"/>
        <v>4.2</v>
      </c>
      <c r="W50" s="16">
        <f t="shared" si="18"/>
        <v>18.2</v>
      </c>
      <c r="X50" s="16" t="str">
        <f t="shared" si="19"/>
        <v/>
      </c>
    </row>
    <row r="51" spans="1:24" ht="15" customHeight="1" x14ac:dyDescent="0.2">
      <c r="A51" s="78">
        <v>30</v>
      </c>
      <c r="B51" s="88" t="s">
        <v>349</v>
      </c>
      <c r="C51" s="89" t="s">
        <v>348</v>
      </c>
      <c r="D51" s="89" t="s">
        <v>319</v>
      </c>
      <c r="E51" s="89" t="s">
        <v>350</v>
      </c>
      <c r="F51" s="89" t="s">
        <v>227</v>
      </c>
      <c r="G51" s="90">
        <v>14.46</v>
      </c>
      <c r="H51" s="90"/>
      <c r="I51" s="90"/>
      <c r="J51" s="78" t="s">
        <v>307</v>
      </c>
      <c r="K51" s="78" t="s">
        <v>160</v>
      </c>
      <c r="L51" s="38">
        <f>VLOOKUP(K51,Reinigungstage!A10:E31,5,FALSE)</f>
        <v>1</v>
      </c>
      <c r="M51" s="38">
        <f t="shared" si="10"/>
        <v>14.46</v>
      </c>
      <c r="N51" s="92">
        <f t="shared" si="11"/>
        <v>0</v>
      </c>
      <c r="O51" s="38">
        <f ca="1">IF('SVS GrundRG'!H61="",0,'SVS GrundRG'!H61)</f>
        <v>0</v>
      </c>
      <c r="P51" s="38">
        <f t="shared" si="12"/>
        <v>0</v>
      </c>
      <c r="Q51" s="38">
        <f t="shared" si="13"/>
        <v>0</v>
      </c>
      <c r="R51" s="38">
        <f t="shared" si="14"/>
        <v>0</v>
      </c>
      <c r="S51" s="16" t="str">
        <f t="shared" si="15"/>
        <v>Leistungswert eintragen</v>
      </c>
      <c r="U51" s="16">
        <f t="shared" si="16"/>
        <v>14</v>
      </c>
      <c r="V51" s="16">
        <f t="shared" si="17"/>
        <v>4.2</v>
      </c>
      <c r="W51" s="16">
        <f t="shared" si="18"/>
        <v>18.2</v>
      </c>
      <c r="X51" s="16" t="str">
        <f t="shared" si="19"/>
        <v/>
      </c>
    </row>
    <row r="52" spans="1:24" ht="15" customHeight="1" x14ac:dyDescent="0.2">
      <c r="A52" s="78">
        <v>31</v>
      </c>
      <c r="B52" s="88">
        <v>202</v>
      </c>
      <c r="C52" s="89" t="s">
        <v>348</v>
      </c>
      <c r="D52" s="89" t="s">
        <v>319</v>
      </c>
      <c r="E52" s="89" t="s">
        <v>321</v>
      </c>
      <c r="F52" s="89" t="s">
        <v>229</v>
      </c>
      <c r="G52" s="90">
        <v>49.7</v>
      </c>
      <c r="H52" s="90"/>
      <c r="I52" s="90"/>
      <c r="J52" s="78" t="s">
        <v>313</v>
      </c>
      <c r="K52" s="78" t="s">
        <v>160</v>
      </c>
      <c r="L52" s="38">
        <f>VLOOKUP(K52,Reinigungstage!A10:E31,5,FALSE)</f>
        <v>1</v>
      </c>
      <c r="M52" s="38">
        <f t="shared" si="10"/>
        <v>49.7</v>
      </c>
      <c r="N52" s="92">
        <f t="shared" si="11"/>
        <v>0</v>
      </c>
      <c r="O52" s="38">
        <f ca="1">IF('SVS GrundRG'!H61="",0,'SVS GrundRG'!H61)</f>
        <v>0</v>
      </c>
      <c r="P52" s="38">
        <f t="shared" si="12"/>
        <v>0</v>
      </c>
      <c r="Q52" s="38">
        <f t="shared" si="13"/>
        <v>0</v>
      </c>
      <c r="R52" s="38">
        <f t="shared" si="14"/>
        <v>0</v>
      </c>
      <c r="S52" s="16" t="str">
        <f t="shared" si="15"/>
        <v>Leistungswert eintragen</v>
      </c>
      <c r="U52" s="16">
        <f t="shared" si="16"/>
        <v>24</v>
      </c>
      <c r="V52" s="16">
        <f t="shared" si="17"/>
        <v>7.1999999999999993</v>
      </c>
      <c r="W52" s="16">
        <f t="shared" si="18"/>
        <v>31.2</v>
      </c>
      <c r="X52" s="16" t="str">
        <f t="shared" si="19"/>
        <v/>
      </c>
    </row>
    <row r="53" spans="1:24" ht="15" customHeight="1" x14ac:dyDescent="0.2">
      <c r="A53" s="78">
        <v>32</v>
      </c>
      <c r="B53" s="88">
        <v>204</v>
      </c>
      <c r="C53" s="89" t="s">
        <v>348</v>
      </c>
      <c r="D53" s="89" t="s">
        <v>319</v>
      </c>
      <c r="E53" s="89" t="s">
        <v>352</v>
      </c>
      <c r="F53" s="89" t="s">
        <v>229</v>
      </c>
      <c r="G53" s="90">
        <v>50.4</v>
      </c>
      <c r="H53" s="90"/>
      <c r="I53" s="90"/>
      <c r="J53" s="78" t="s">
        <v>311</v>
      </c>
      <c r="K53" s="78" t="s">
        <v>160</v>
      </c>
      <c r="L53" s="38">
        <f>VLOOKUP(K53,Reinigungstage!A10:E31,5,FALSE)</f>
        <v>1</v>
      </c>
      <c r="M53" s="38">
        <f t="shared" si="10"/>
        <v>50.4</v>
      </c>
      <c r="N53" s="92">
        <f t="shared" si="11"/>
        <v>0</v>
      </c>
      <c r="O53" s="38">
        <f ca="1">IF('SVS GrundRG'!H61="",0,'SVS GrundRG'!H61)</f>
        <v>0</v>
      </c>
      <c r="P53" s="38">
        <f t="shared" si="12"/>
        <v>0</v>
      </c>
      <c r="Q53" s="38">
        <f t="shared" si="13"/>
        <v>0</v>
      </c>
      <c r="R53" s="38">
        <f t="shared" si="14"/>
        <v>0</v>
      </c>
      <c r="S53" s="16" t="str">
        <f t="shared" si="15"/>
        <v>Leistungswert eintragen</v>
      </c>
      <c r="U53" s="16">
        <f t="shared" si="16"/>
        <v>15</v>
      </c>
      <c r="V53" s="16">
        <f t="shared" si="17"/>
        <v>4.5</v>
      </c>
      <c r="W53" s="16">
        <f t="shared" si="18"/>
        <v>19.5</v>
      </c>
      <c r="X53" s="16" t="str">
        <f t="shared" si="19"/>
        <v/>
      </c>
    </row>
    <row r="54" spans="1:24" ht="15" customHeight="1" x14ac:dyDescent="0.2">
      <c r="A54" s="78">
        <v>33</v>
      </c>
      <c r="B54" s="88">
        <v>205</v>
      </c>
      <c r="C54" s="89" t="s">
        <v>348</v>
      </c>
      <c r="D54" s="89" t="s">
        <v>319</v>
      </c>
      <c r="E54" s="89" t="s">
        <v>284</v>
      </c>
      <c r="F54" s="89" t="s">
        <v>229</v>
      </c>
      <c r="G54" s="90">
        <v>33.53</v>
      </c>
      <c r="H54" s="90"/>
      <c r="I54" s="90"/>
      <c r="J54" s="78" t="s">
        <v>309</v>
      </c>
      <c r="K54" s="78" t="s">
        <v>160</v>
      </c>
      <c r="L54" s="38">
        <f>VLOOKUP(K54,Reinigungstage!A10:E31,5,FALSE)</f>
        <v>1</v>
      </c>
      <c r="M54" s="38">
        <f t="shared" si="10"/>
        <v>33.53</v>
      </c>
      <c r="N54" s="92">
        <f t="shared" si="11"/>
        <v>0</v>
      </c>
      <c r="O54" s="38">
        <f ca="1">IF('SVS GrundRG'!H61="",0,'SVS GrundRG'!H61)</f>
        <v>0</v>
      </c>
      <c r="P54" s="38">
        <f t="shared" si="12"/>
        <v>0</v>
      </c>
      <c r="Q54" s="38">
        <f t="shared" si="13"/>
        <v>0</v>
      </c>
      <c r="R54" s="38">
        <f t="shared" si="14"/>
        <v>0</v>
      </c>
      <c r="S54" s="16" t="str">
        <f t="shared" si="15"/>
        <v>Leistungswert eintragen</v>
      </c>
      <c r="U54" s="16">
        <f t="shared" si="16"/>
        <v>15</v>
      </c>
      <c r="V54" s="16">
        <f t="shared" si="17"/>
        <v>4.5</v>
      </c>
      <c r="W54" s="16">
        <f t="shared" si="18"/>
        <v>19.5</v>
      </c>
      <c r="X54" s="16" t="str">
        <f t="shared" si="19"/>
        <v/>
      </c>
    </row>
    <row r="55" spans="1:24" ht="15" customHeight="1" x14ac:dyDescent="0.2">
      <c r="A55" s="78">
        <v>34</v>
      </c>
      <c r="B55" s="88">
        <v>206</v>
      </c>
      <c r="C55" s="89" t="s">
        <v>348</v>
      </c>
      <c r="D55" s="89" t="s">
        <v>319</v>
      </c>
      <c r="E55" s="89" t="s">
        <v>353</v>
      </c>
      <c r="F55" s="89" t="s">
        <v>229</v>
      </c>
      <c r="G55" s="90">
        <v>40.04</v>
      </c>
      <c r="H55" s="90"/>
      <c r="I55" s="90"/>
      <c r="J55" s="78" t="s">
        <v>311</v>
      </c>
      <c r="K55" s="78" t="s">
        <v>160</v>
      </c>
      <c r="L55" s="38">
        <f>VLOOKUP(K55,Reinigungstage!A10:E31,5,FALSE)</f>
        <v>1</v>
      </c>
      <c r="M55" s="38">
        <f t="shared" si="10"/>
        <v>40.04</v>
      </c>
      <c r="N55" s="92">
        <f t="shared" si="11"/>
        <v>0</v>
      </c>
      <c r="O55" s="38">
        <f ca="1">IF('SVS GrundRG'!H61="",0,'SVS GrundRG'!H61)</f>
        <v>0</v>
      </c>
      <c r="P55" s="38">
        <f t="shared" si="12"/>
        <v>0</v>
      </c>
      <c r="Q55" s="38">
        <f t="shared" si="13"/>
        <v>0</v>
      </c>
      <c r="R55" s="38">
        <f t="shared" si="14"/>
        <v>0</v>
      </c>
      <c r="S55" s="16" t="str">
        <f t="shared" si="15"/>
        <v>Leistungswert eintragen</v>
      </c>
      <c r="U55" s="16">
        <f t="shared" si="16"/>
        <v>15</v>
      </c>
      <c r="V55" s="16">
        <f t="shared" si="17"/>
        <v>4.5</v>
      </c>
      <c r="W55" s="16">
        <f t="shared" si="18"/>
        <v>19.5</v>
      </c>
      <c r="X55" s="16" t="str">
        <f t="shared" si="19"/>
        <v/>
      </c>
    </row>
    <row r="56" spans="1:24" ht="15" customHeight="1" x14ac:dyDescent="0.2">
      <c r="A56" s="78">
        <v>35</v>
      </c>
      <c r="B56" s="88">
        <v>207</v>
      </c>
      <c r="C56" s="89" t="s">
        <v>348</v>
      </c>
      <c r="D56" s="89" t="s">
        <v>319</v>
      </c>
      <c r="E56" s="89" t="s">
        <v>354</v>
      </c>
      <c r="F56" s="89" t="s">
        <v>229</v>
      </c>
      <c r="G56" s="90">
        <v>31.77</v>
      </c>
      <c r="H56" s="90"/>
      <c r="I56" s="90"/>
      <c r="J56" s="78" t="s">
        <v>311</v>
      </c>
      <c r="K56" s="78" t="s">
        <v>160</v>
      </c>
      <c r="L56" s="38">
        <f>VLOOKUP(K56,Reinigungstage!A10:E31,5,FALSE)</f>
        <v>1</v>
      </c>
      <c r="M56" s="38">
        <f t="shared" si="10"/>
        <v>31.77</v>
      </c>
      <c r="N56" s="92">
        <f t="shared" si="11"/>
        <v>0</v>
      </c>
      <c r="O56" s="38">
        <f ca="1">IF('SVS GrundRG'!H61="",0,'SVS GrundRG'!H61)</f>
        <v>0</v>
      </c>
      <c r="P56" s="38">
        <f t="shared" si="12"/>
        <v>0</v>
      </c>
      <c r="Q56" s="38">
        <f t="shared" si="13"/>
        <v>0</v>
      </c>
      <c r="R56" s="38">
        <f t="shared" si="14"/>
        <v>0</v>
      </c>
      <c r="S56" s="16" t="str">
        <f t="shared" si="15"/>
        <v>Leistungswert eintragen</v>
      </c>
      <c r="U56" s="16">
        <f t="shared" si="16"/>
        <v>15</v>
      </c>
      <c r="V56" s="16">
        <f t="shared" si="17"/>
        <v>4.5</v>
      </c>
      <c r="W56" s="16">
        <f t="shared" si="18"/>
        <v>19.5</v>
      </c>
      <c r="X56" s="16" t="str">
        <f t="shared" si="19"/>
        <v/>
      </c>
    </row>
    <row r="57" spans="1:24" ht="15" customHeight="1" x14ac:dyDescent="0.2">
      <c r="A57" s="78">
        <v>36</v>
      </c>
      <c r="B57" s="88">
        <v>208</v>
      </c>
      <c r="C57" s="89" t="s">
        <v>348</v>
      </c>
      <c r="D57" s="89" t="s">
        <v>319</v>
      </c>
      <c r="E57" s="89" t="s">
        <v>355</v>
      </c>
      <c r="F57" s="89" t="s">
        <v>229</v>
      </c>
      <c r="G57" s="90">
        <v>13.74</v>
      </c>
      <c r="H57" s="90"/>
      <c r="I57" s="90"/>
      <c r="J57" s="78" t="s">
        <v>309</v>
      </c>
      <c r="K57" s="78" t="s">
        <v>160</v>
      </c>
      <c r="L57" s="38">
        <f>VLOOKUP(K57,Reinigungstage!A10:E31,5,FALSE)</f>
        <v>1</v>
      </c>
      <c r="M57" s="38">
        <f t="shared" si="10"/>
        <v>13.74</v>
      </c>
      <c r="N57" s="92">
        <f t="shared" si="11"/>
        <v>0</v>
      </c>
      <c r="O57" s="38">
        <f ca="1">IF('SVS GrundRG'!H61="",0,'SVS GrundRG'!H61)</f>
        <v>0</v>
      </c>
      <c r="P57" s="38">
        <f t="shared" si="12"/>
        <v>0</v>
      </c>
      <c r="Q57" s="38">
        <f t="shared" si="13"/>
        <v>0</v>
      </c>
      <c r="R57" s="38">
        <f t="shared" si="14"/>
        <v>0</v>
      </c>
      <c r="S57" s="16" t="str">
        <f t="shared" si="15"/>
        <v>Leistungswert eintragen</v>
      </c>
      <c r="U57" s="16">
        <f t="shared" si="16"/>
        <v>15</v>
      </c>
      <c r="V57" s="16">
        <f t="shared" si="17"/>
        <v>4.5</v>
      </c>
      <c r="W57" s="16">
        <f t="shared" si="18"/>
        <v>19.5</v>
      </c>
      <c r="X57" s="16" t="str">
        <f t="shared" si="19"/>
        <v/>
      </c>
    </row>
    <row r="58" spans="1:24" ht="15" customHeight="1" x14ac:dyDescent="0.2">
      <c r="A58" s="78">
        <v>37</v>
      </c>
      <c r="B58" s="88">
        <v>209</v>
      </c>
      <c r="C58" s="89" t="s">
        <v>348</v>
      </c>
      <c r="D58" s="89" t="s">
        <v>319</v>
      </c>
      <c r="E58" s="89" t="s">
        <v>356</v>
      </c>
      <c r="F58" s="89" t="s">
        <v>229</v>
      </c>
      <c r="G58" s="90">
        <v>24.82</v>
      </c>
      <c r="H58" s="90"/>
      <c r="I58" s="90"/>
      <c r="J58" s="78" t="s">
        <v>314</v>
      </c>
      <c r="K58" s="78" t="s">
        <v>160</v>
      </c>
      <c r="L58" s="38">
        <f>VLOOKUP(K58,Reinigungstage!A10:E31,5,FALSE)</f>
        <v>1</v>
      </c>
      <c r="M58" s="38">
        <f t="shared" si="10"/>
        <v>24.82</v>
      </c>
      <c r="N58" s="92">
        <f t="shared" si="11"/>
        <v>0</v>
      </c>
      <c r="O58" s="38">
        <f ca="1">IF('SVS GrundRG'!H61="",0,'SVS GrundRG'!H61)</f>
        <v>0</v>
      </c>
      <c r="P58" s="38">
        <f t="shared" si="12"/>
        <v>0</v>
      </c>
      <c r="Q58" s="38">
        <f t="shared" si="13"/>
        <v>0</v>
      </c>
      <c r="R58" s="38">
        <f t="shared" si="14"/>
        <v>0</v>
      </c>
      <c r="S58" s="16" t="str">
        <f t="shared" si="15"/>
        <v>Leistungswert eintragen</v>
      </c>
      <c r="U58" s="16">
        <f t="shared" si="16"/>
        <v>13</v>
      </c>
      <c r="V58" s="16">
        <f t="shared" si="17"/>
        <v>3.9</v>
      </c>
      <c r="W58" s="16">
        <f t="shared" si="18"/>
        <v>16.899999999999999</v>
      </c>
      <c r="X58" s="16" t="str">
        <f t="shared" si="19"/>
        <v/>
      </c>
    </row>
    <row r="59" spans="1:24" ht="15" customHeight="1" x14ac:dyDescent="0.2">
      <c r="A59" s="78">
        <v>38</v>
      </c>
      <c r="B59" s="88">
        <v>210</v>
      </c>
      <c r="C59" s="89" t="s">
        <v>348</v>
      </c>
      <c r="D59" s="89" t="s">
        <v>319</v>
      </c>
      <c r="E59" s="89" t="s">
        <v>237</v>
      </c>
      <c r="F59" s="89" t="s">
        <v>227</v>
      </c>
      <c r="G59" s="90">
        <v>9.7799999999999994</v>
      </c>
      <c r="H59" s="90"/>
      <c r="I59" s="90"/>
      <c r="J59" s="78" t="s">
        <v>312</v>
      </c>
      <c r="K59" s="78" t="s">
        <v>160</v>
      </c>
      <c r="L59" s="38">
        <f>VLOOKUP(K59,Reinigungstage!A10:E31,5,FALSE)</f>
        <v>1</v>
      </c>
      <c r="M59" s="38">
        <f t="shared" si="10"/>
        <v>9.7799999999999994</v>
      </c>
      <c r="N59" s="92">
        <f t="shared" si="11"/>
        <v>0</v>
      </c>
      <c r="O59" s="38">
        <f ca="1">IF('SVS GrundRG'!H61="",0,'SVS GrundRG'!H61)</f>
        <v>0</v>
      </c>
      <c r="P59" s="38">
        <f t="shared" si="12"/>
        <v>0</v>
      </c>
      <c r="Q59" s="38">
        <f t="shared" si="13"/>
        <v>0</v>
      </c>
      <c r="R59" s="38">
        <f t="shared" si="14"/>
        <v>0</v>
      </c>
      <c r="S59" s="16" t="str">
        <f t="shared" si="15"/>
        <v>Leistungswert eintragen</v>
      </c>
      <c r="U59" s="16">
        <f t="shared" si="16"/>
        <v>7</v>
      </c>
      <c r="V59" s="16">
        <f t="shared" si="17"/>
        <v>2.1</v>
      </c>
      <c r="W59" s="16">
        <f t="shared" si="18"/>
        <v>9.1</v>
      </c>
      <c r="X59" s="16" t="str">
        <f t="shared" si="19"/>
        <v/>
      </c>
    </row>
    <row r="60" spans="1:24" ht="15" customHeight="1" x14ac:dyDescent="0.2">
      <c r="A60" s="78">
        <v>39</v>
      </c>
      <c r="B60" s="88">
        <v>211</v>
      </c>
      <c r="C60" s="89" t="s">
        <v>348</v>
      </c>
      <c r="D60" s="89" t="s">
        <v>319</v>
      </c>
      <c r="E60" s="89" t="s">
        <v>235</v>
      </c>
      <c r="F60" s="89" t="s">
        <v>227</v>
      </c>
      <c r="G60" s="90">
        <v>6.17</v>
      </c>
      <c r="H60" s="90"/>
      <c r="I60" s="90"/>
      <c r="J60" s="78" t="s">
        <v>312</v>
      </c>
      <c r="K60" s="78" t="s">
        <v>160</v>
      </c>
      <c r="L60" s="38">
        <f>VLOOKUP(K60,Reinigungstage!A10:E31,5,FALSE)</f>
        <v>1</v>
      </c>
      <c r="M60" s="38">
        <f t="shared" si="10"/>
        <v>6.17</v>
      </c>
      <c r="N60" s="92">
        <f t="shared" si="11"/>
        <v>0</v>
      </c>
      <c r="O60" s="38">
        <f ca="1">IF('SVS GrundRG'!H61="",0,'SVS GrundRG'!H61)</f>
        <v>0</v>
      </c>
      <c r="P60" s="38">
        <f t="shared" si="12"/>
        <v>0</v>
      </c>
      <c r="Q60" s="38">
        <f t="shared" si="13"/>
        <v>0</v>
      </c>
      <c r="R60" s="38">
        <f t="shared" si="14"/>
        <v>0</v>
      </c>
      <c r="S60" s="16" t="str">
        <f t="shared" si="15"/>
        <v>Leistungswert eintragen</v>
      </c>
      <c r="U60" s="16">
        <f t="shared" si="16"/>
        <v>7</v>
      </c>
      <c r="V60" s="16">
        <f t="shared" si="17"/>
        <v>2.1</v>
      </c>
      <c r="W60" s="16">
        <f t="shared" si="18"/>
        <v>9.1</v>
      </c>
      <c r="X60" s="16" t="str">
        <f t="shared" si="19"/>
        <v/>
      </c>
    </row>
    <row r="61" spans="1:24" ht="15" customHeight="1" x14ac:dyDescent="0.2">
      <c r="A61" s="78">
        <v>40</v>
      </c>
      <c r="B61" s="88">
        <v>212</v>
      </c>
      <c r="C61" s="89" t="s">
        <v>348</v>
      </c>
      <c r="D61" s="89" t="s">
        <v>319</v>
      </c>
      <c r="E61" s="89" t="s">
        <v>357</v>
      </c>
      <c r="F61" s="89" t="s">
        <v>227</v>
      </c>
      <c r="G61" s="90">
        <v>4.83</v>
      </c>
      <c r="H61" s="90"/>
      <c r="I61" s="90"/>
      <c r="J61" s="78" t="s">
        <v>312</v>
      </c>
      <c r="K61" s="78" t="s">
        <v>160</v>
      </c>
      <c r="L61" s="38">
        <f>VLOOKUP(K61,Reinigungstage!A10:E31,5,FALSE)</f>
        <v>1</v>
      </c>
      <c r="M61" s="38">
        <f t="shared" si="10"/>
        <v>4.83</v>
      </c>
      <c r="N61" s="92">
        <f t="shared" si="11"/>
        <v>0</v>
      </c>
      <c r="O61" s="38">
        <f ca="1">IF('SVS GrundRG'!H61="",0,'SVS GrundRG'!H61)</f>
        <v>0</v>
      </c>
      <c r="P61" s="38">
        <f t="shared" si="12"/>
        <v>0</v>
      </c>
      <c r="Q61" s="38">
        <f t="shared" si="13"/>
        <v>0</v>
      </c>
      <c r="R61" s="38">
        <f t="shared" si="14"/>
        <v>0</v>
      </c>
      <c r="S61" s="16" t="str">
        <f t="shared" si="15"/>
        <v>Leistungswert eintragen</v>
      </c>
      <c r="U61" s="16">
        <f t="shared" si="16"/>
        <v>7</v>
      </c>
      <c r="V61" s="16">
        <f t="shared" si="17"/>
        <v>2.1</v>
      </c>
      <c r="W61" s="16">
        <f t="shared" si="18"/>
        <v>9.1</v>
      </c>
      <c r="X61" s="16" t="str">
        <f t="shared" si="19"/>
        <v/>
      </c>
    </row>
    <row r="62" spans="1:24" ht="15" customHeight="1" x14ac:dyDescent="0.2">
      <c r="A62" s="78">
        <v>41</v>
      </c>
      <c r="B62" s="88">
        <v>213</v>
      </c>
      <c r="C62" s="89" t="s">
        <v>348</v>
      </c>
      <c r="D62" s="89" t="s">
        <v>319</v>
      </c>
      <c r="E62" s="89" t="s">
        <v>320</v>
      </c>
      <c r="F62" s="89" t="s">
        <v>227</v>
      </c>
      <c r="G62" s="90">
        <v>4.37</v>
      </c>
      <c r="H62" s="90"/>
      <c r="I62" s="90"/>
      <c r="J62" s="78" t="s">
        <v>307</v>
      </c>
      <c r="K62" s="78" t="s">
        <v>160</v>
      </c>
      <c r="L62" s="38">
        <f>VLOOKUP(K62,Reinigungstage!A10:E31,5,FALSE)</f>
        <v>1</v>
      </c>
      <c r="M62" s="38">
        <f t="shared" si="10"/>
        <v>4.37</v>
      </c>
      <c r="N62" s="92">
        <f t="shared" si="11"/>
        <v>0</v>
      </c>
      <c r="O62" s="38">
        <f ca="1">IF('SVS GrundRG'!H61="",0,'SVS GrundRG'!H61)</f>
        <v>0</v>
      </c>
      <c r="P62" s="38">
        <f t="shared" si="12"/>
        <v>0</v>
      </c>
      <c r="Q62" s="38">
        <f t="shared" si="13"/>
        <v>0</v>
      </c>
      <c r="R62" s="38">
        <f t="shared" si="14"/>
        <v>0</v>
      </c>
      <c r="S62" s="16" t="str">
        <f t="shared" si="15"/>
        <v>Leistungswert eintragen</v>
      </c>
      <c r="U62" s="16">
        <f t="shared" si="16"/>
        <v>14</v>
      </c>
      <c r="V62" s="16">
        <f t="shared" si="17"/>
        <v>4.2</v>
      </c>
      <c r="W62" s="16">
        <f t="shared" si="18"/>
        <v>18.2</v>
      </c>
      <c r="X62" s="16" t="str">
        <f t="shared" si="19"/>
        <v/>
      </c>
    </row>
    <row r="63" spans="1:24" ht="15" customHeight="1" x14ac:dyDescent="0.2">
      <c r="A63" s="78">
        <v>42</v>
      </c>
      <c r="B63" s="88" t="s">
        <v>358</v>
      </c>
      <c r="C63" s="89" t="s">
        <v>348</v>
      </c>
      <c r="D63" s="89" t="s">
        <v>319</v>
      </c>
      <c r="E63" s="89" t="s">
        <v>350</v>
      </c>
      <c r="F63" s="89" t="s">
        <v>227</v>
      </c>
      <c r="G63" s="90">
        <v>11.21</v>
      </c>
      <c r="H63" s="90"/>
      <c r="I63" s="90"/>
      <c r="J63" s="78" t="s">
        <v>307</v>
      </c>
      <c r="K63" s="78" t="s">
        <v>160</v>
      </c>
      <c r="L63" s="38">
        <f>VLOOKUP(K63,Reinigungstage!A10:E31,5,FALSE)</f>
        <v>1</v>
      </c>
      <c r="M63" s="38">
        <f t="shared" si="10"/>
        <v>11.21</v>
      </c>
      <c r="N63" s="92">
        <f t="shared" si="11"/>
        <v>0</v>
      </c>
      <c r="O63" s="38">
        <f ca="1">IF('SVS GrundRG'!H61="",0,'SVS GrundRG'!H61)</f>
        <v>0</v>
      </c>
      <c r="P63" s="38">
        <f t="shared" si="12"/>
        <v>0</v>
      </c>
      <c r="Q63" s="38">
        <f t="shared" si="13"/>
        <v>0</v>
      </c>
      <c r="R63" s="38">
        <f t="shared" si="14"/>
        <v>0</v>
      </c>
      <c r="S63" s="16" t="str">
        <f t="shared" si="15"/>
        <v>Leistungswert eintragen</v>
      </c>
      <c r="U63" s="16">
        <f t="shared" si="16"/>
        <v>14</v>
      </c>
      <c r="V63" s="16">
        <f t="shared" si="17"/>
        <v>4.2</v>
      </c>
      <c r="W63" s="16">
        <f t="shared" si="18"/>
        <v>18.2</v>
      </c>
      <c r="X63" s="16" t="str">
        <f t="shared" si="19"/>
        <v/>
      </c>
    </row>
    <row r="64" spans="1:24" ht="15" customHeight="1" x14ac:dyDescent="0.2">
      <c r="A64" s="78">
        <v>43</v>
      </c>
      <c r="B64" s="88">
        <v>113</v>
      </c>
      <c r="C64" s="89" t="s">
        <v>276</v>
      </c>
      <c r="D64" s="89" t="s">
        <v>359</v>
      </c>
      <c r="E64" s="89" t="s">
        <v>277</v>
      </c>
      <c r="F64" s="89" t="s">
        <v>227</v>
      </c>
      <c r="G64" s="90">
        <v>109.15</v>
      </c>
      <c r="H64" s="90"/>
      <c r="I64" s="90"/>
      <c r="J64" s="78" t="s">
        <v>313</v>
      </c>
      <c r="K64" s="78" t="s">
        <v>160</v>
      </c>
      <c r="L64" s="38">
        <f>VLOOKUP(K64,Reinigungstage!A10:E31,5,FALSE)</f>
        <v>1</v>
      </c>
      <c r="M64" s="38">
        <f t="shared" si="10"/>
        <v>109.15</v>
      </c>
      <c r="N64" s="92">
        <f t="shared" si="11"/>
        <v>0</v>
      </c>
      <c r="O64" s="38">
        <f ca="1">IF('SVS GrundRG'!H61="",0,'SVS GrundRG'!H61)</f>
        <v>0</v>
      </c>
      <c r="P64" s="38">
        <f t="shared" si="12"/>
        <v>0</v>
      </c>
      <c r="Q64" s="38">
        <f t="shared" si="13"/>
        <v>0</v>
      </c>
      <c r="R64" s="38">
        <f t="shared" si="14"/>
        <v>0</v>
      </c>
      <c r="S64" s="16" t="str">
        <f t="shared" si="15"/>
        <v>Leistungswert eintragen</v>
      </c>
      <c r="U64" s="16">
        <f t="shared" si="16"/>
        <v>24</v>
      </c>
      <c r="V64" s="16">
        <f t="shared" si="17"/>
        <v>7.1999999999999993</v>
      </c>
      <c r="W64" s="16">
        <f t="shared" si="18"/>
        <v>31.2</v>
      </c>
      <c r="X64" s="16" t="str">
        <f t="shared" si="19"/>
        <v/>
      </c>
    </row>
    <row r="65" spans="1:24" ht="15" customHeight="1" x14ac:dyDescent="0.2">
      <c r="A65" s="78">
        <v>44</v>
      </c>
      <c r="B65" s="88">
        <v>114</v>
      </c>
      <c r="C65" s="89" t="s">
        <v>276</v>
      </c>
      <c r="D65" s="89" t="s">
        <v>359</v>
      </c>
      <c r="E65" s="89" t="s">
        <v>360</v>
      </c>
      <c r="F65" s="89" t="s">
        <v>227</v>
      </c>
      <c r="G65" s="90">
        <v>9</v>
      </c>
      <c r="H65" s="90"/>
      <c r="I65" s="90"/>
      <c r="J65" s="78" t="s">
        <v>316</v>
      </c>
      <c r="K65" s="78" t="s">
        <v>160</v>
      </c>
      <c r="L65" s="38">
        <f>VLOOKUP(K65,Reinigungstage!A10:E31,5,FALSE)</f>
        <v>1</v>
      </c>
      <c r="M65" s="38">
        <f t="shared" si="10"/>
        <v>9</v>
      </c>
      <c r="N65" s="92">
        <f t="shared" si="11"/>
        <v>0</v>
      </c>
      <c r="O65" s="38">
        <f ca="1">IF('SVS GrundRG'!H61="",0,'SVS GrundRG'!H61)</f>
        <v>0</v>
      </c>
      <c r="P65" s="38">
        <f t="shared" si="12"/>
        <v>0</v>
      </c>
      <c r="Q65" s="38">
        <f t="shared" si="13"/>
        <v>0</v>
      </c>
      <c r="R65" s="38">
        <f t="shared" si="14"/>
        <v>0</v>
      </c>
      <c r="S65" s="16" t="str">
        <f t="shared" si="15"/>
        <v>Leistungswert eintragen</v>
      </c>
      <c r="U65" s="16">
        <f t="shared" si="16"/>
        <v>16.5</v>
      </c>
      <c r="V65" s="16">
        <f t="shared" si="17"/>
        <v>4.95</v>
      </c>
      <c r="W65" s="16">
        <f t="shared" si="18"/>
        <v>21.45</v>
      </c>
      <c r="X65" s="16" t="str">
        <f t="shared" si="19"/>
        <v/>
      </c>
    </row>
    <row r="66" spans="1:24" ht="15" customHeight="1" x14ac:dyDescent="0.2">
      <c r="A66" s="78">
        <v>45</v>
      </c>
      <c r="B66" s="88">
        <v>115</v>
      </c>
      <c r="C66" s="89" t="s">
        <v>276</v>
      </c>
      <c r="D66" s="89" t="s">
        <v>359</v>
      </c>
      <c r="E66" s="89" t="s">
        <v>236</v>
      </c>
      <c r="F66" s="89" t="s">
        <v>227</v>
      </c>
      <c r="G66" s="90">
        <v>4.92</v>
      </c>
      <c r="H66" s="90"/>
      <c r="I66" s="90"/>
      <c r="J66" s="78" t="s">
        <v>312</v>
      </c>
      <c r="K66" s="78" t="s">
        <v>160</v>
      </c>
      <c r="L66" s="38">
        <f>VLOOKUP(K66,Reinigungstage!A10:E31,5,FALSE)</f>
        <v>1</v>
      </c>
      <c r="M66" s="38">
        <f t="shared" si="10"/>
        <v>4.92</v>
      </c>
      <c r="N66" s="92">
        <f t="shared" si="11"/>
        <v>0</v>
      </c>
      <c r="O66" s="38">
        <f ca="1">IF('SVS GrundRG'!H61="",0,'SVS GrundRG'!H61)</f>
        <v>0</v>
      </c>
      <c r="P66" s="38">
        <f t="shared" si="12"/>
        <v>0</v>
      </c>
      <c r="Q66" s="38">
        <f t="shared" si="13"/>
        <v>0</v>
      </c>
      <c r="R66" s="38">
        <f t="shared" si="14"/>
        <v>0</v>
      </c>
      <c r="S66" s="16" t="str">
        <f t="shared" si="15"/>
        <v>Leistungswert eintragen</v>
      </c>
      <c r="U66" s="16">
        <f t="shared" si="16"/>
        <v>7</v>
      </c>
      <c r="V66" s="16">
        <f t="shared" si="17"/>
        <v>2.1</v>
      </c>
      <c r="W66" s="16">
        <f t="shared" si="18"/>
        <v>9.1</v>
      </c>
      <c r="X66" s="16" t="str">
        <f t="shared" si="19"/>
        <v/>
      </c>
    </row>
    <row r="67" spans="1:24" ht="15" customHeight="1" x14ac:dyDescent="0.2">
      <c r="A67" s="78">
        <v>46</v>
      </c>
      <c r="B67" s="88">
        <v>118</v>
      </c>
      <c r="C67" s="89" t="s">
        <v>276</v>
      </c>
      <c r="D67" s="89" t="s">
        <v>359</v>
      </c>
      <c r="E67" s="89" t="s">
        <v>363</v>
      </c>
      <c r="F67" s="89" t="s">
        <v>229</v>
      </c>
      <c r="G67" s="90">
        <v>406.95</v>
      </c>
      <c r="H67" s="90"/>
      <c r="I67" s="90"/>
      <c r="J67" s="78" t="s">
        <v>317</v>
      </c>
      <c r="K67" s="78" t="s">
        <v>160</v>
      </c>
      <c r="L67" s="38">
        <f>VLOOKUP(K67,Reinigungstage!A10:E31,5,FALSE)</f>
        <v>1</v>
      </c>
      <c r="M67" s="38">
        <f t="shared" si="10"/>
        <v>406.95</v>
      </c>
      <c r="N67" s="92">
        <f t="shared" si="11"/>
        <v>0</v>
      </c>
      <c r="O67" s="38">
        <f ca="1">IF('SVS GrundRG'!H61="",0,'SVS GrundRG'!H61)</f>
        <v>0</v>
      </c>
      <c r="P67" s="38">
        <f t="shared" si="12"/>
        <v>0</v>
      </c>
      <c r="Q67" s="38">
        <f t="shared" si="13"/>
        <v>0</v>
      </c>
      <c r="R67" s="38">
        <f t="shared" si="14"/>
        <v>0</v>
      </c>
      <c r="S67" s="16" t="str">
        <f t="shared" si="15"/>
        <v>Leistungswert eintragen</v>
      </c>
      <c r="U67" s="16">
        <f t="shared" si="16"/>
        <v>25.5</v>
      </c>
      <c r="V67" s="16">
        <f t="shared" si="17"/>
        <v>7.6499999999999995</v>
      </c>
      <c r="W67" s="16">
        <f t="shared" si="18"/>
        <v>33.15</v>
      </c>
      <c r="X67" s="16" t="str">
        <f t="shared" si="19"/>
        <v/>
      </c>
    </row>
    <row r="68" spans="1:24" ht="15" customHeight="1" x14ac:dyDescent="0.2">
      <c r="A68" s="78">
        <v>47</v>
      </c>
      <c r="B68" s="95">
        <v>1</v>
      </c>
      <c r="C68" s="89" t="s">
        <v>276</v>
      </c>
      <c r="D68" s="89" t="s">
        <v>364</v>
      </c>
      <c r="E68" s="89" t="s">
        <v>321</v>
      </c>
      <c r="F68" s="89" t="s">
        <v>227</v>
      </c>
      <c r="G68" s="90">
        <v>60.34</v>
      </c>
      <c r="H68" s="90"/>
      <c r="I68" s="90"/>
      <c r="J68" s="78" t="s">
        <v>313</v>
      </c>
      <c r="K68" s="78" t="s">
        <v>160</v>
      </c>
      <c r="L68" s="38">
        <f>VLOOKUP(K68,Reinigungstage!A10:E31,5,FALSE)</f>
        <v>1</v>
      </c>
      <c r="M68" s="38">
        <f t="shared" si="10"/>
        <v>60.34</v>
      </c>
      <c r="N68" s="92">
        <f t="shared" si="11"/>
        <v>0</v>
      </c>
      <c r="O68" s="38">
        <f ca="1">IF('SVS GrundRG'!H61="",0,'SVS GrundRG'!H61)</f>
        <v>0</v>
      </c>
      <c r="P68" s="38">
        <f t="shared" si="12"/>
        <v>0</v>
      </c>
      <c r="Q68" s="38">
        <f t="shared" si="13"/>
        <v>0</v>
      </c>
      <c r="R68" s="38">
        <f t="shared" si="14"/>
        <v>0</v>
      </c>
      <c r="S68" s="16" t="str">
        <f t="shared" si="15"/>
        <v>Leistungswert eintragen</v>
      </c>
      <c r="U68" s="16">
        <f t="shared" si="16"/>
        <v>24</v>
      </c>
      <c r="V68" s="16">
        <f t="shared" si="17"/>
        <v>7.1999999999999993</v>
      </c>
      <c r="W68" s="16">
        <f t="shared" si="18"/>
        <v>31.2</v>
      </c>
      <c r="X68" s="16" t="str">
        <f t="shared" si="19"/>
        <v/>
      </c>
    </row>
    <row r="69" spans="1:24" ht="15" customHeight="1" x14ac:dyDescent="0.2">
      <c r="A69" s="78">
        <v>48</v>
      </c>
      <c r="B69" s="95">
        <v>2</v>
      </c>
      <c r="C69" s="89" t="s">
        <v>276</v>
      </c>
      <c r="D69" s="89" t="s">
        <v>364</v>
      </c>
      <c r="E69" s="89" t="s">
        <v>314</v>
      </c>
      <c r="F69" s="89" t="s">
        <v>229</v>
      </c>
      <c r="G69" s="90">
        <v>8</v>
      </c>
      <c r="H69" s="90"/>
      <c r="I69" s="90"/>
      <c r="J69" s="78" t="s">
        <v>314</v>
      </c>
      <c r="K69" s="78" t="s">
        <v>160</v>
      </c>
      <c r="L69" s="38">
        <f>VLOOKUP(K69,Reinigungstage!A10:E31,5,FALSE)</f>
        <v>1</v>
      </c>
      <c r="M69" s="38">
        <f t="shared" si="10"/>
        <v>8</v>
      </c>
      <c r="N69" s="92">
        <f t="shared" si="11"/>
        <v>0</v>
      </c>
      <c r="O69" s="38">
        <f ca="1">IF('SVS GrundRG'!H61="",0,'SVS GrundRG'!H61)</f>
        <v>0</v>
      </c>
      <c r="P69" s="38">
        <f t="shared" si="12"/>
        <v>0</v>
      </c>
      <c r="Q69" s="38">
        <f t="shared" si="13"/>
        <v>0</v>
      </c>
      <c r="R69" s="38">
        <f t="shared" si="14"/>
        <v>0</v>
      </c>
      <c r="S69" s="16" t="str">
        <f t="shared" si="15"/>
        <v>Leistungswert eintragen</v>
      </c>
      <c r="U69" s="16">
        <f t="shared" si="16"/>
        <v>13</v>
      </c>
      <c r="V69" s="16">
        <f t="shared" si="17"/>
        <v>3.9</v>
      </c>
      <c r="W69" s="16">
        <f t="shared" si="18"/>
        <v>16.899999999999999</v>
      </c>
      <c r="X69" s="16" t="str">
        <f t="shared" si="19"/>
        <v/>
      </c>
    </row>
    <row r="70" spans="1:24" ht="15" customHeight="1" x14ac:dyDescent="0.2">
      <c r="A70" s="78">
        <v>49</v>
      </c>
      <c r="B70" s="95">
        <v>3</v>
      </c>
      <c r="C70" s="89" t="s">
        <v>276</v>
      </c>
      <c r="D70" s="89" t="s">
        <v>364</v>
      </c>
      <c r="E70" s="89" t="s">
        <v>314</v>
      </c>
      <c r="F70" s="89" t="s">
        <v>229</v>
      </c>
      <c r="G70" s="90">
        <v>8.35</v>
      </c>
      <c r="H70" s="90"/>
      <c r="I70" s="90"/>
      <c r="J70" s="78" t="s">
        <v>314</v>
      </c>
      <c r="K70" s="78" t="s">
        <v>160</v>
      </c>
      <c r="L70" s="38">
        <f>VLOOKUP(K70,Reinigungstage!A10:E31,5,FALSE)</f>
        <v>1</v>
      </c>
      <c r="M70" s="38">
        <f t="shared" ref="M70:M100" si="20">ROUND(IF(L70=0,0,L70*G70),2)</f>
        <v>8.35</v>
      </c>
      <c r="N70" s="92">
        <f t="shared" ref="N70:N103" si="21">VLOOKUP(J70,$G$4:$H$13,2,FALSE)</f>
        <v>0</v>
      </c>
      <c r="O70" s="38">
        <f ca="1">IF('SVS GrundRG'!H61="",0,'SVS GrundRG'!H61)</f>
        <v>0</v>
      </c>
      <c r="P70" s="38">
        <f t="shared" ref="P70:P103" si="22">ROUND(IF(N70=0,0,M70/N70),2)</f>
        <v>0</v>
      </c>
      <c r="Q70" s="38">
        <f t="shared" ref="Q70:Q100" si="23">ROUND(IF(P70=0,0,P70*O70),2)</f>
        <v>0</v>
      </c>
      <c r="R70" s="38">
        <f t="shared" ref="R70:R100" si="24">ROUND(IF(P70=0,0,Q70/L70),2)</f>
        <v>0</v>
      </c>
      <c r="S70" s="16" t="str">
        <f t="shared" ref="S70:S103" si="25">IF(M70=0,"",IF(N70=0,"Leistungswert eintragen",IF(O70=0,"SVS prüfen","")))</f>
        <v>Leistungswert eintragen</v>
      </c>
      <c r="U70" s="16">
        <f t="shared" ref="U70:U103" si="26">VLOOKUP(J70,$U$4:$V$13,2,FALSE)</f>
        <v>13</v>
      </c>
      <c r="V70" s="16">
        <f t="shared" ref="V70:V100" si="27">U70*30%</f>
        <v>3.9</v>
      </c>
      <c r="W70" s="16">
        <f t="shared" ref="W70:W100" si="28">SUM(U70:V70)</f>
        <v>16.899999999999999</v>
      </c>
      <c r="X70" s="16" t="str">
        <f t="shared" ref="X70:X100" si="29">IF(N70=0,"",IF(W70&lt;N70,1,IF(W70&gt;=N70,0,"")))</f>
        <v/>
      </c>
    </row>
    <row r="71" spans="1:24" ht="15" customHeight="1" x14ac:dyDescent="0.2">
      <c r="A71" s="78">
        <v>50</v>
      </c>
      <c r="B71" s="95">
        <v>4</v>
      </c>
      <c r="C71" s="89" t="s">
        <v>276</v>
      </c>
      <c r="D71" s="89" t="s">
        <v>364</v>
      </c>
      <c r="E71" s="89" t="s">
        <v>321</v>
      </c>
      <c r="F71" s="89" t="s">
        <v>229</v>
      </c>
      <c r="G71" s="90">
        <v>42.07</v>
      </c>
      <c r="H71" s="90"/>
      <c r="I71" s="90"/>
      <c r="J71" s="78" t="s">
        <v>313</v>
      </c>
      <c r="K71" s="78" t="s">
        <v>160</v>
      </c>
      <c r="L71" s="38">
        <f>VLOOKUP(K71,Reinigungstage!A10:E31,5,FALSE)</f>
        <v>1</v>
      </c>
      <c r="M71" s="38">
        <f t="shared" si="20"/>
        <v>42.07</v>
      </c>
      <c r="N71" s="92">
        <f t="shared" si="21"/>
        <v>0</v>
      </c>
      <c r="O71" s="38">
        <f ca="1">IF('SVS GrundRG'!H61="",0,'SVS GrundRG'!H61)</f>
        <v>0</v>
      </c>
      <c r="P71" s="38">
        <f t="shared" si="22"/>
        <v>0</v>
      </c>
      <c r="Q71" s="38">
        <f t="shared" si="23"/>
        <v>0</v>
      </c>
      <c r="R71" s="38">
        <f t="shared" si="24"/>
        <v>0</v>
      </c>
      <c r="S71" s="16" t="str">
        <f t="shared" si="25"/>
        <v>Leistungswert eintragen</v>
      </c>
      <c r="U71" s="16">
        <f t="shared" si="26"/>
        <v>24</v>
      </c>
      <c r="V71" s="16">
        <f t="shared" si="27"/>
        <v>7.1999999999999993</v>
      </c>
      <c r="W71" s="16">
        <f t="shared" si="28"/>
        <v>31.2</v>
      </c>
      <c r="X71" s="16" t="str">
        <f t="shared" si="29"/>
        <v/>
      </c>
    </row>
    <row r="72" spans="1:24" ht="15" customHeight="1" x14ac:dyDescent="0.2">
      <c r="A72" s="78">
        <v>51</v>
      </c>
      <c r="B72" s="95">
        <v>5</v>
      </c>
      <c r="C72" s="89" t="s">
        <v>276</v>
      </c>
      <c r="D72" s="89" t="s">
        <v>364</v>
      </c>
      <c r="E72" s="89" t="s">
        <v>366</v>
      </c>
      <c r="F72" s="89" t="s">
        <v>227</v>
      </c>
      <c r="G72" s="90">
        <v>4.09</v>
      </c>
      <c r="H72" s="90"/>
      <c r="I72" s="90"/>
      <c r="J72" s="78" t="s">
        <v>312</v>
      </c>
      <c r="K72" s="78" t="s">
        <v>160</v>
      </c>
      <c r="L72" s="38">
        <f>VLOOKUP(K72,Reinigungstage!A10:E31,5,FALSE)</f>
        <v>1</v>
      </c>
      <c r="M72" s="38">
        <f t="shared" si="20"/>
        <v>4.09</v>
      </c>
      <c r="N72" s="92">
        <f t="shared" si="21"/>
        <v>0</v>
      </c>
      <c r="O72" s="38">
        <f ca="1">IF('SVS GrundRG'!H61="",0,'SVS GrundRG'!H61)</f>
        <v>0</v>
      </c>
      <c r="P72" s="38">
        <f t="shared" si="22"/>
        <v>0</v>
      </c>
      <c r="Q72" s="38">
        <f t="shared" si="23"/>
        <v>0</v>
      </c>
      <c r="R72" s="38">
        <f t="shared" si="24"/>
        <v>0</v>
      </c>
      <c r="S72" s="16" t="str">
        <f t="shared" si="25"/>
        <v>Leistungswert eintragen</v>
      </c>
      <c r="U72" s="16">
        <f t="shared" si="26"/>
        <v>7</v>
      </c>
      <c r="V72" s="16">
        <f t="shared" si="27"/>
        <v>2.1</v>
      </c>
      <c r="W72" s="16">
        <f t="shared" si="28"/>
        <v>9.1</v>
      </c>
      <c r="X72" s="16" t="str">
        <f t="shared" si="29"/>
        <v/>
      </c>
    </row>
    <row r="73" spans="1:24" ht="15" customHeight="1" x14ac:dyDescent="0.2">
      <c r="A73" s="78">
        <v>52</v>
      </c>
      <c r="B73" s="95">
        <v>6</v>
      </c>
      <c r="C73" s="89" t="s">
        <v>276</v>
      </c>
      <c r="D73" s="89" t="s">
        <v>364</v>
      </c>
      <c r="E73" s="89" t="s">
        <v>235</v>
      </c>
      <c r="F73" s="89" t="s">
        <v>227</v>
      </c>
      <c r="G73" s="90">
        <v>8.1300000000000008</v>
      </c>
      <c r="H73" s="90"/>
      <c r="I73" s="90"/>
      <c r="J73" s="78" t="s">
        <v>312</v>
      </c>
      <c r="K73" s="78" t="s">
        <v>160</v>
      </c>
      <c r="L73" s="38">
        <f>VLOOKUP(K73,Reinigungstage!A10:E31,5,FALSE)</f>
        <v>1</v>
      </c>
      <c r="M73" s="38">
        <f t="shared" si="20"/>
        <v>8.1300000000000008</v>
      </c>
      <c r="N73" s="92">
        <f t="shared" si="21"/>
        <v>0</v>
      </c>
      <c r="O73" s="38">
        <f ca="1">IF('SVS GrundRG'!H61="",0,'SVS GrundRG'!H61)</f>
        <v>0</v>
      </c>
      <c r="P73" s="38">
        <f t="shared" si="22"/>
        <v>0</v>
      </c>
      <c r="Q73" s="38">
        <f t="shared" si="23"/>
        <v>0</v>
      </c>
      <c r="R73" s="38">
        <f t="shared" si="24"/>
        <v>0</v>
      </c>
      <c r="S73" s="16" t="str">
        <f t="shared" si="25"/>
        <v>Leistungswert eintragen</v>
      </c>
      <c r="U73" s="16">
        <f t="shared" si="26"/>
        <v>7</v>
      </c>
      <c r="V73" s="16">
        <f t="shared" si="27"/>
        <v>2.1</v>
      </c>
      <c r="W73" s="16">
        <f t="shared" si="28"/>
        <v>9.1</v>
      </c>
      <c r="X73" s="16" t="str">
        <f t="shared" si="29"/>
        <v/>
      </c>
    </row>
    <row r="74" spans="1:24" ht="15" customHeight="1" x14ac:dyDescent="0.2">
      <c r="A74" s="78">
        <v>53</v>
      </c>
      <c r="B74" s="95">
        <v>7</v>
      </c>
      <c r="C74" s="89" t="s">
        <v>276</v>
      </c>
      <c r="D74" s="89" t="s">
        <v>364</v>
      </c>
      <c r="E74" s="89" t="s">
        <v>367</v>
      </c>
      <c r="F74" s="89" t="s">
        <v>227</v>
      </c>
      <c r="G74" s="90">
        <v>3.4</v>
      </c>
      <c r="H74" s="90"/>
      <c r="I74" s="90"/>
      <c r="J74" s="78" t="s">
        <v>312</v>
      </c>
      <c r="K74" s="78" t="s">
        <v>160</v>
      </c>
      <c r="L74" s="38">
        <f>VLOOKUP(K74,Reinigungstage!A10:E31,5,FALSE)</f>
        <v>1</v>
      </c>
      <c r="M74" s="38">
        <f t="shared" si="20"/>
        <v>3.4</v>
      </c>
      <c r="N74" s="92">
        <f t="shared" si="21"/>
        <v>0</v>
      </c>
      <c r="O74" s="38">
        <f ca="1">IF('SVS GrundRG'!H61="",0,'SVS GrundRG'!H61)</f>
        <v>0</v>
      </c>
      <c r="P74" s="38">
        <f t="shared" si="22"/>
        <v>0</v>
      </c>
      <c r="Q74" s="38">
        <f t="shared" si="23"/>
        <v>0</v>
      </c>
      <c r="R74" s="38">
        <f t="shared" si="24"/>
        <v>0</v>
      </c>
      <c r="S74" s="16" t="str">
        <f t="shared" si="25"/>
        <v>Leistungswert eintragen</v>
      </c>
      <c r="U74" s="16">
        <f t="shared" si="26"/>
        <v>7</v>
      </c>
      <c r="V74" s="16">
        <f t="shared" si="27"/>
        <v>2.1</v>
      </c>
      <c r="W74" s="16">
        <f t="shared" si="28"/>
        <v>9.1</v>
      </c>
      <c r="X74" s="16" t="str">
        <f t="shared" si="29"/>
        <v/>
      </c>
    </row>
    <row r="75" spans="1:24" ht="15" customHeight="1" x14ac:dyDescent="0.2">
      <c r="A75" s="78">
        <v>54</v>
      </c>
      <c r="B75" s="95">
        <v>8</v>
      </c>
      <c r="C75" s="89" t="s">
        <v>276</v>
      </c>
      <c r="D75" s="89" t="s">
        <v>364</v>
      </c>
      <c r="E75" s="89" t="s">
        <v>368</v>
      </c>
      <c r="F75" s="89" t="s">
        <v>227</v>
      </c>
      <c r="G75" s="90">
        <v>6.77</v>
      </c>
      <c r="H75" s="90"/>
      <c r="I75" s="90"/>
      <c r="J75" s="78" t="s">
        <v>312</v>
      </c>
      <c r="K75" s="78" t="s">
        <v>160</v>
      </c>
      <c r="L75" s="38">
        <f>VLOOKUP(K75,Reinigungstage!A10:E31,5,FALSE)</f>
        <v>1</v>
      </c>
      <c r="M75" s="38">
        <f t="shared" si="20"/>
        <v>6.77</v>
      </c>
      <c r="N75" s="92">
        <f t="shared" si="21"/>
        <v>0</v>
      </c>
      <c r="O75" s="38">
        <f ca="1">IF('SVS GrundRG'!H61="",0,'SVS GrundRG'!H61)</f>
        <v>0</v>
      </c>
      <c r="P75" s="38">
        <f t="shared" si="22"/>
        <v>0</v>
      </c>
      <c r="Q75" s="38">
        <f t="shared" si="23"/>
        <v>0</v>
      </c>
      <c r="R75" s="38">
        <f t="shared" si="24"/>
        <v>0</v>
      </c>
      <c r="S75" s="16" t="str">
        <f t="shared" si="25"/>
        <v>Leistungswert eintragen</v>
      </c>
      <c r="U75" s="16">
        <f t="shared" si="26"/>
        <v>7</v>
      </c>
      <c r="V75" s="16">
        <f t="shared" si="27"/>
        <v>2.1</v>
      </c>
      <c r="W75" s="16">
        <f t="shared" si="28"/>
        <v>9.1</v>
      </c>
      <c r="X75" s="16" t="str">
        <f t="shared" si="29"/>
        <v/>
      </c>
    </row>
    <row r="76" spans="1:24" ht="15" customHeight="1" x14ac:dyDescent="0.2">
      <c r="A76" s="78">
        <v>55</v>
      </c>
      <c r="B76" s="95">
        <v>9</v>
      </c>
      <c r="C76" s="89" t="s">
        <v>276</v>
      </c>
      <c r="D76" s="89" t="s">
        <v>364</v>
      </c>
      <c r="E76" s="89" t="s">
        <v>237</v>
      </c>
      <c r="F76" s="89" t="s">
        <v>227</v>
      </c>
      <c r="G76" s="90">
        <v>9.06</v>
      </c>
      <c r="H76" s="90"/>
      <c r="I76" s="90"/>
      <c r="J76" s="78" t="s">
        <v>312</v>
      </c>
      <c r="K76" s="78" t="s">
        <v>160</v>
      </c>
      <c r="L76" s="38">
        <f>VLOOKUP(K76,Reinigungstage!A10:E31,5,FALSE)</f>
        <v>1</v>
      </c>
      <c r="M76" s="38">
        <f t="shared" si="20"/>
        <v>9.06</v>
      </c>
      <c r="N76" s="92">
        <f t="shared" si="21"/>
        <v>0</v>
      </c>
      <c r="O76" s="38">
        <f ca="1">IF('SVS GrundRG'!H61="",0,'SVS GrundRG'!H61)</f>
        <v>0</v>
      </c>
      <c r="P76" s="38">
        <f t="shared" si="22"/>
        <v>0</v>
      </c>
      <c r="Q76" s="38">
        <f t="shared" si="23"/>
        <v>0</v>
      </c>
      <c r="R76" s="38">
        <f t="shared" si="24"/>
        <v>0</v>
      </c>
      <c r="S76" s="16" t="str">
        <f t="shared" si="25"/>
        <v>Leistungswert eintragen</v>
      </c>
      <c r="U76" s="16">
        <f t="shared" si="26"/>
        <v>7</v>
      </c>
      <c r="V76" s="16">
        <f t="shared" si="27"/>
        <v>2.1</v>
      </c>
      <c r="W76" s="16">
        <f t="shared" si="28"/>
        <v>9.1</v>
      </c>
      <c r="X76" s="16" t="str">
        <f t="shared" si="29"/>
        <v/>
      </c>
    </row>
    <row r="77" spans="1:24" ht="15" customHeight="1" x14ac:dyDescent="0.2">
      <c r="A77" s="78">
        <v>56</v>
      </c>
      <c r="B77" s="95">
        <v>10</v>
      </c>
      <c r="C77" s="89" t="s">
        <v>276</v>
      </c>
      <c r="D77" s="89" t="s">
        <v>364</v>
      </c>
      <c r="E77" s="89" t="s">
        <v>369</v>
      </c>
      <c r="F77" s="89" t="s">
        <v>229</v>
      </c>
      <c r="G77" s="90">
        <v>11.48</v>
      </c>
      <c r="H77" s="90"/>
      <c r="I77" s="90"/>
      <c r="J77" s="78" t="s">
        <v>315</v>
      </c>
      <c r="K77" s="78" t="s">
        <v>160</v>
      </c>
      <c r="L77" s="38">
        <f>VLOOKUP(K77,Reinigungstage!A10:E31,5,FALSE)</f>
        <v>1</v>
      </c>
      <c r="M77" s="38">
        <f t="shared" si="20"/>
        <v>11.48</v>
      </c>
      <c r="N77" s="92">
        <f t="shared" si="21"/>
        <v>0</v>
      </c>
      <c r="O77" s="38">
        <f ca="1">IF('SVS GrundRG'!H61="",0,'SVS GrundRG'!H61)</f>
        <v>0</v>
      </c>
      <c r="P77" s="38">
        <f t="shared" si="22"/>
        <v>0</v>
      </c>
      <c r="Q77" s="38">
        <f t="shared" si="23"/>
        <v>0</v>
      </c>
      <c r="R77" s="38">
        <f t="shared" si="24"/>
        <v>0</v>
      </c>
      <c r="S77" s="16" t="str">
        <f t="shared" si="25"/>
        <v>Leistungswert eintragen</v>
      </c>
      <c r="U77" s="16">
        <f t="shared" si="26"/>
        <v>16.5</v>
      </c>
      <c r="V77" s="16">
        <f t="shared" si="27"/>
        <v>4.95</v>
      </c>
      <c r="W77" s="16">
        <f t="shared" si="28"/>
        <v>21.45</v>
      </c>
      <c r="X77" s="16" t="str">
        <f t="shared" si="29"/>
        <v/>
      </c>
    </row>
    <row r="78" spans="1:24" ht="15" customHeight="1" x14ac:dyDescent="0.2">
      <c r="A78" s="78">
        <v>57</v>
      </c>
      <c r="B78" s="95">
        <v>11</v>
      </c>
      <c r="C78" s="89" t="s">
        <v>276</v>
      </c>
      <c r="D78" s="89" t="s">
        <v>364</v>
      </c>
      <c r="E78" s="89" t="s">
        <v>341</v>
      </c>
      <c r="F78" s="89" t="s">
        <v>229</v>
      </c>
      <c r="G78" s="90">
        <v>5.04</v>
      </c>
      <c r="H78" s="90"/>
      <c r="I78" s="90"/>
      <c r="J78" s="78" t="s">
        <v>313</v>
      </c>
      <c r="K78" s="78" t="s">
        <v>160</v>
      </c>
      <c r="L78" s="38">
        <f>VLOOKUP(K78,Reinigungstage!A10:E31,5,FALSE)</f>
        <v>1</v>
      </c>
      <c r="M78" s="38">
        <f t="shared" si="20"/>
        <v>5.04</v>
      </c>
      <c r="N78" s="92">
        <f t="shared" si="21"/>
        <v>0</v>
      </c>
      <c r="O78" s="38">
        <f ca="1">IF('SVS GrundRG'!H61="",0,'SVS GrundRG'!H61)</f>
        <v>0</v>
      </c>
      <c r="P78" s="38">
        <f t="shared" si="22"/>
        <v>0</v>
      </c>
      <c r="Q78" s="38">
        <f t="shared" si="23"/>
        <v>0</v>
      </c>
      <c r="R78" s="38">
        <f t="shared" si="24"/>
        <v>0</v>
      </c>
      <c r="S78" s="16" t="str">
        <f t="shared" si="25"/>
        <v>Leistungswert eintragen</v>
      </c>
      <c r="U78" s="16">
        <f t="shared" si="26"/>
        <v>24</v>
      </c>
      <c r="V78" s="16">
        <f t="shared" si="27"/>
        <v>7.1999999999999993</v>
      </c>
      <c r="W78" s="16">
        <f t="shared" si="28"/>
        <v>31.2</v>
      </c>
      <c r="X78" s="16" t="str">
        <f t="shared" si="29"/>
        <v/>
      </c>
    </row>
    <row r="79" spans="1:24" ht="15" customHeight="1" x14ac:dyDescent="0.2">
      <c r="A79" s="78">
        <v>58</v>
      </c>
      <c r="B79" s="78" t="s">
        <v>370</v>
      </c>
      <c r="C79" s="89" t="s">
        <v>276</v>
      </c>
      <c r="D79" s="89" t="s">
        <v>364</v>
      </c>
      <c r="E79" s="89" t="s">
        <v>232</v>
      </c>
      <c r="F79" s="89" t="s">
        <v>229</v>
      </c>
      <c r="G79" s="90">
        <v>15.98</v>
      </c>
      <c r="H79" s="90"/>
      <c r="I79" s="90"/>
      <c r="J79" s="78" t="s">
        <v>311</v>
      </c>
      <c r="K79" s="78" t="s">
        <v>160</v>
      </c>
      <c r="L79" s="38">
        <f>VLOOKUP(K79,Reinigungstage!A10:E31,5,FALSE)</f>
        <v>1</v>
      </c>
      <c r="M79" s="38">
        <f t="shared" si="20"/>
        <v>15.98</v>
      </c>
      <c r="N79" s="92">
        <f t="shared" si="21"/>
        <v>0</v>
      </c>
      <c r="O79" s="38">
        <f ca="1">IF('SVS GrundRG'!H61="",0,'SVS GrundRG'!H61)</f>
        <v>0</v>
      </c>
      <c r="P79" s="38">
        <f t="shared" si="22"/>
        <v>0</v>
      </c>
      <c r="Q79" s="38">
        <f t="shared" si="23"/>
        <v>0</v>
      </c>
      <c r="R79" s="38">
        <f t="shared" si="24"/>
        <v>0</v>
      </c>
      <c r="S79" s="16" t="str">
        <f t="shared" si="25"/>
        <v>Leistungswert eintragen</v>
      </c>
      <c r="U79" s="16">
        <f t="shared" si="26"/>
        <v>15</v>
      </c>
      <c r="V79" s="16">
        <f t="shared" si="27"/>
        <v>4.5</v>
      </c>
      <c r="W79" s="16">
        <f t="shared" si="28"/>
        <v>19.5</v>
      </c>
      <c r="X79" s="16" t="str">
        <f t="shared" si="29"/>
        <v/>
      </c>
    </row>
    <row r="80" spans="1:24" ht="15" customHeight="1" x14ac:dyDescent="0.2">
      <c r="A80" s="78">
        <v>59</v>
      </c>
      <c r="B80" s="95">
        <v>12</v>
      </c>
      <c r="C80" s="89" t="s">
        <v>276</v>
      </c>
      <c r="D80" s="89" t="s">
        <v>364</v>
      </c>
      <c r="E80" s="89" t="s">
        <v>232</v>
      </c>
      <c r="F80" s="89" t="s">
        <v>229</v>
      </c>
      <c r="G80" s="90">
        <v>42.87</v>
      </c>
      <c r="H80" s="90"/>
      <c r="I80" s="90"/>
      <c r="J80" s="78" t="s">
        <v>311</v>
      </c>
      <c r="K80" s="78" t="s">
        <v>160</v>
      </c>
      <c r="L80" s="38">
        <f>VLOOKUP(K80,Reinigungstage!A10:E31,5,FALSE)</f>
        <v>1</v>
      </c>
      <c r="M80" s="38">
        <f t="shared" si="20"/>
        <v>42.87</v>
      </c>
      <c r="N80" s="92">
        <f t="shared" si="21"/>
        <v>0</v>
      </c>
      <c r="O80" s="38">
        <f ca="1">IF('SVS GrundRG'!H61="",0,'SVS GrundRG'!H61)</f>
        <v>0</v>
      </c>
      <c r="P80" s="38">
        <f t="shared" si="22"/>
        <v>0</v>
      </c>
      <c r="Q80" s="38">
        <f t="shared" si="23"/>
        <v>0</v>
      </c>
      <c r="R80" s="38">
        <f t="shared" si="24"/>
        <v>0</v>
      </c>
      <c r="S80" s="16" t="str">
        <f t="shared" si="25"/>
        <v>Leistungswert eintragen</v>
      </c>
      <c r="U80" s="16">
        <f t="shared" si="26"/>
        <v>15</v>
      </c>
      <c r="V80" s="16">
        <f t="shared" si="27"/>
        <v>4.5</v>
      </c>
      <c r="W80" s="16">
        <f t="shared" si="28"/>
        <v>19.5</v>
      </c>
      <c r="X80" s="16" t="str">
        <f t="shared" si="29"/>
        <v/>
      </c>
    </row>
    <row r="81" spans="1:24" ht="15" customHeight="1" x14ac:dyDescent="0.2">
      <c r="A81" s="78">
        <v>60</v>
      </c>
      <c r="B81" s="95">
        <v>13</v>
      </c>
      <c r="C81" s="89" t="s">
        <v>276</v>
      </c>
      <c r="D81" s="89" t="s">
        <v>364</v>
      </c>
      <c r="E81" s="89" t="s">
        <v>232</v>
      </c>
      <c r="F81" s="89" t="s">
        <v>229</v>
      </c>
      <c r="G81" s="90">
        <v>42.86</v>
      </c>
      <c r="H81" s="90"/>
      <c r="I81" s="90"/>
      <c r="J81" s="78" t="s">
        <v>311</v>
      </c>
      <c r="K81" s="78" t="s">
        <v>160</v>
      </c>
      <c r="L81" s="38">
        <f>VLOOKUP(K81,Reinigungstage!A10:E31,5,FALSE)</f>
        <v>1</v>
      </c>
      <c r="M81" s="38">
        <f t="shared" si="20"/>
        <v>42.86</v>
      </c>
      <c r="N81" s="92">
        <f t="shared" si="21"/>
        <v>0</v>
      </c>
      <c r="O81" s="38">
        <f ca="1">IF('SVS GrundRG'!H61="",0,'SVS GrundRG'!H61)</f>
        <v>0</v>
      </c>
      <c r="P81" s="38">
        <f t="shared" si="22"/>
        <v>0</v>
      </c>
      <c r="Q81" s="38">
        <f t="shared" si="23"/>
        <v>0</v>
      </c>
      <c r="R81" s="38">
        <f t="shared" si="24"/>
        <v>0</v>
      </c>
      <c r="S81" s="16" t="str">
        <f t="shared" si="25"/>
        <v>Leistungswert eintragen</v>
      </c>
      <c r="U81" s="16">
        <f t="shared" si="26"/>
        <v>15</v>
      </c>
      <c r="V81" s="16">
        <f t="shared" si="27"/>
        <v>4.5</v>
      </c>
      <c r="W81" s="16">
        <f t="shared" si="28"/>
        <v>19.5</v>
      </c>
      <c r="X81" s="16" t="str">
        <f t="shared" si="29"/>
        <v/>
      </c>
    </row>
    <row r="82" spans="1:24" ht="15" customHeight="1" x14ac:dyDescent="0.2">
      <c r="A82" s="78">
        <v>61</v>
      </c>
      <c r="B82" s="78" t="s">
        <v>371</v>
      </c>
      <c r="C82" s="89" t="s">
        <v>276</v>
      </c>
      <c r="D82" s="89" t="s">
        <v>364</v>
      </c>
      <c r="E82" s="89" t="s">
        <v>232</v>
      </c>
      <c r="F82" s="89" t="s">
        <v>229</v>
      </c>
      <c r="G82" s="90">
        <v>15.99</v>
      </c>
      <c r="H82" s="90"/>
      <c r="I82" s="90"/>
      <c r="J82" s="78" t="s">
        <v>311</v>
      </c>
      <c r="K82" s="78" t="s">
        <v>160</v>
      </c>
      <c r="L82" s="38">
        <f>VLOOKUP(K82,Reinigungstage!A10:E31,5,FALSE)</f>
        <v>1</v>
      </c>
      <c r="M82" s="38">
        <f t="shared" si="20"/>
        <v>15.99</v>
      </c>
      <c r="N82" s="92">
        <f t="shared" si="21"/>
        <v>0</v>
      </c>
      <c r="O82" s="38">
        <f ca="1">IF('SVS GrundRG'!H61="",0,'SVS GrundRG'!H61)</f>
        <v>0</v>
      </c>
      <c r="P82" s="38">
        <f t="shared" si="22"/>
        <v>0</v>
      </c>
      <c r="Q82" s="38">
        <f t="shared" si="23"/>
        <v>0</v>
      </c>
      <c r="R82" s="38">
        <f t="shared" si="24"/>
        <v>0</v>
      </c>
      <c r="S82" s="16" t="str">
        <f t="shared" si="25"/>
        <v>Leistungswert eintragen</v>
      </c>
      <c r="U82" s="16">
        <f t="shared" si="26"/>
        <v>15</v>
      </c>
      <c r="V82" s="16">
        <f t="shared" si="27"/>
        <v>4.5</v>
      </c>
      <c r="W82" s="16">
        <f t="shared" si="28"/>
        <v>19.5</v>
      </c>
      <c r="X82" s="16" t="str">
        <f t="shared" si="29"/>
        <v/>
      </c>
    </row>
    <row r="83" spans="1:24" ht="15" customHeight="1" x14ac:dyDescent="0.2">
      <c r="A83" s="78">
        <v>62</v>
      </c>
      <c r="B83" s="95">
        <v>14</v>
      </c>
      <c r="C83" s="89" t="s">
        <v>276</v>
      </c>
      <c r="D83" s="89" t="s">
        <v>364</v>
      </c>
      <c r="E83" s="89" t="s">
        <v>341</v>
      </c>
      <c r="F83" s="89" t="s">
        <v>229</v>
      </c>
      <c r="G83" s="90">
        <v>4.7</v>
      </c>
      <c r="H83" s="90"/>
      <c r="I83" s="90"/>
      <c r="J83" s="78" t="s">
        <v>313</v>
      </c>
      <c r="K83" s="78" t="s">
        <v>160</v>
      </c>
      <c r="L83" s="38">
        <f>VLOOKUP(K83,Reinigungstage!A10:E31,5,FALSE)</f>
        <v>1</v>
      </c>
      <c r="M83" s="38">
        <f t="shared" si="20"/>
        <v>4.7</v>
      </c>
      <c r="N83" s="92">
        <f t="shared" si="21"/>
        <v>0</v>
      </c>
      <c r="O83" s="38">
        <f ca="1">IF('SVS GrundRG'!H61="",0,'SVS GrundRG'!H61)</f>
        <v>0</v>
      </c>
      <c r="P83" s="38">
        <f t="shared" si="22"/>
        <v>0</v>
      </c>
      <c r="Q83" s="38">
        <f t="shared" si="23"/>
        <v>0</v>
      </c>
      <c r="R83" s="38">
        <f t="shared" si="24"/>
        <v>0</v>
      </c>
      <c r="S83" s="16" t="str">
        <f t="shared" si="25"/>
        <v>Leistungswert eintragen</v>
      </c>
      <c r="U83" s="16">
        <f t="shared" si="26"/>
        <v>24</v>
      </c>
      <c r="V83" s="16">
        <f t="shared" si="27"/>
        <v>7.1999999999999993</v>
      </c>
      <c r="W83" s="16">
        <f t="shared" si="28"/>
        <v>31.2</v>
      </c>
      <c r="X83" s="16" t="str">
        <f t="shared" si="29"/>
        <v/>
      </c>
    </row>
    <row r="84" spans="1:24" ht="15" customHeight="1" x14ac:dyDescent="0.2">
      <c r="A84" s="78">
        <v>63</v>
      </c>
      <c r="B84" s="95">
        <v>15</v>
      </c>
      <c r="C84" s="89" t="s">
        <v>276</v>
      </c>
      <c r="D84" s="89" t="s">
        <v>364</v>
      </c>
      <c r="E84" s="89" t="s">
        <v>232</v>
      </c>
      <c r="F84" s="89" t="s">
        <v>229</v>
      </c>
      <c r="G84" s="90">
        <v>42.75</v>
      </c>
      <c r="H84" s="90"/>
      <c r="I84" s="90"/>
      <c r="J84" s="78" t="s">
        <v>311</v>
      </c>
      <c r="K84" s="78" t="s">
        <v>160</v>
      </c>
      <c r="L84" s="38">
        <f>VLOOKUP(K84,Reinigungstage!A10:E31,5,FALSE)</f>
        <v>1</v>
      </c>
      <c r="M84" s="38">
        <f t="shared" si="20"/>
        <v>42.75</v>
      </c>
      <c r="N84" s="92">
        <f t="shared" si="21"/>
        <v>0</v>
      </c>
      <c r="O84" s="38">
        <f ca="1">IF('SVS GrundRG'!H61="",0,'SVS GrundRG'!H61)</f>
        <v>0</v>
      </c>
      <c r="P84" s="38">
        <f t="shared" si="22"/>
        <v>0</v>
      </c>
      <c r="Q84" s="38">
        <f t="shared" si="23"/>
        <v>0</v>
      </c>
      <c r="R84" s="38">
        <f t="shared" si="24"/>
        <v>0</v>
      </c>
      <c r="S84" s="16" t="str">
        <f t="shared" si="25"/>
        <v>Leistungswert eintragen</v>
      </c>
      <c r="U84" s="16">
        <f t="shared" si="26"/>
        <v>15</v>
      </c>
      <c r="V84" s="16">
        <f t="shared" si="27"/>
        <v>4.5</v>
      </c>
      <c r="W84" s="16">
        <f t="shared" si="28"/>
        <v>19.5</v>
      </c>
      <c r="X84" s="16" t="str">
        <f t="shared" si="29"/>
        <v/>
      </c>
    </row>
    <row r="85" spans="1:24" ht="15" customHeight="1" x14ac:dyDescent="0.2">
      <c r="A85" s="78">
        <v>64</v>
      </c>
      <c r="B85" s="78" t="s">
        <v>372</v>
      </c>
      <c r="C85" s="89" t="s">
        <v>276</v>
      </c>
      <c r="D85" s="89" t="s">
        <v>364</v>
      </c>
      <c r="E85" s="89" t="s">
        <v>232</v>
      </c>
      <c r="F85" s="89" t="s">
        <v>229</v>
      </c>
      <c r="G85" s="90">
        <v>15.97</v>
      </c>
      <c r="H85" s="90"/>
      <c r="I85" s="90"/>
      <c r="J85" s="78" t="s">
        <v>311</v>
      </c>
      <c r="K85" s="78" t="s">
        <v>160</v>
      </c>
      <c r="L85" s="38">
        <f>VLOOKUP(K85,Reinigungstage!A10:E31,5,FALSE)</f>
        <v>1</v>
      </c>
      <c r="M85" s="38">
        <f t="shared" si="20"/>
        <v>15.97</v>
      </c>
      <c r="N85" s="92">
        <f t="shared" si="21"/>
        <v>0</v>
      </c>
      <c r="O85" s="38">
        <f ca="1">IF('SVS GrundRG'!H61="",0,'SVS GrundRG'!H61)</f>
        <v>0</v>
      </c>
      <c r="P85" s="38">
        <f t="shared" si="22"/>
        <v>0</v>
      </c>
      <c r="Q85" s="38">
        <f t="shared" si="23"/>
        <v>0</v>
      </c>
      <c r="R85" s="38">
        <f t="shared" si="24"/>
        <v>0</v>
      </c>
      <c r="S85" s="16" t="str">
        <f t="shared" si="25"/>
        <v>Leistungswert eintragen</v>
      </c>
      <c r="U85" s="16">
        <f t="shared" si="26"/>
        <v>15</v>
      </c>
      <c r="V85" s="16">
        <f t="shared" si="27"/>
        <v>4.5</v>
      </c>
      <c r="W85" s="16">
        <f t="shared" si="28"/>
        <v>19.5</v>
      </c>
      <c r="X85" s="16" t="str">
        <f t="shared" si="29"/>
        <v/>
      </c>
    </row>
    <row r="86" spans="1:24" ht="15" customHeight="1" x14ac:dyDescent="0.2">
      <c r="A86" s="78">
        <v>65</v>
      </c>
      <c r="B86" s="95">
        <v>16</v>
      </c>
      <c r="C86" s="89" t="s">
        <v>276</v>
      </c>
      <c r="D86" s="89" t="s">
        <v>364</v>
      </c>
      <c r="E86" s="89" t="s">
        <v>341</v>
      </c>
      <c r="F86" s="89" t="s">
        <v>229</v>
      </c>
      <c r="G86" s="90">
        <v>5.07</v>
      </c>
      <c r="H86" s="90"/>
      <c r="I86" s="90"/>
      <c r="J86" s="78" t="s">
        <v>313</v>
      </c>
      <c r="K86" s="78" t="s">
        <v>160</v>
      </c>
      <c r="L86" s="38">
        <f>VLOOKUP(K86,Reinigungstage!A10:E31,5,FALSE)</f>
        <v>1</v>
      </c>
      <c r="M86" s="38">
        <f t="shared" si="20"/>
        <v>5.07</v>
      </c>
      <c r="N86" s="92">
        <f t="shared" si="21"/>
        <v>0</v>
      </c>
      <c r="O86" s="38">
        <f ca="1">IF('SVS GrundRG'!H61="",0,'SVS GrundRG'!H61)</f>
        <v>0</v>
      </c>
      <c r="P86" s="38">
        <f t="shared" si="22"/>
        <v>0</v>
      </c>
      <c r="Q86" s="38">
        <f t="shared" si="23"/>
        <v>0</v>
      </c>
      <c r="R86" s="38">
        <f t="shared" si="24"/>
        <v>0</v>
      </c>
      <c r="S86" s="16" t="str">
        <f t="shared" si="25"/>
        <v>Leistungswert eintragen</v>
      </c>
      <c r="U86" s="16">
        <f t="shared" si="26"/>
        <v>24</v>
      </c>
      <c r="V86" s="16">
        <f t="shared" si="27"/>
        <v>7.1999999999999993</v>
      </c>
      <c r="W86" s="16">
        <f t="shared" si="28"/>
        <v>31.2</v>
      </c>
      <c r="X86" s="16" t="str">
        <f t="shared" si="29"/>
        <v/>
      </c>
    </row>
    <row r="87" spans="1:24" ht="15" customHeight="1" x14ac:dyDescent="0.2">
      <c r="A87" s="78">
        <v>66</v>
      </c>
      <c r="B87" s="88">
        <v>101</v>
      </c>
      <c r="C87" s="89" t="s">
        <v>348</v>
      </c>
      <c r="D87" s="89" t="s">
        <v>364</v>
      </c>
      <c r="E87" s="89" t="s">
        <v>277</v>
      </c>
      <c r="F87" s="89" t="s">
        <v>227</v>
      </c>
      <c r="G87" s="90">
        <v>26.18</v>
      </c>
      <c r="H87" s="90"/>
      <c r="I87" s="90"/>
      <c r="J87" s="78" t="s">
        <v>313</v>
      </c>
      <c r="K87" s="78" t="s">
        <v>160</v>
      </c>
      <c r="L87" s="38">
        <f>VLOOKUP(K87,Reinigungstage!A10:E31,5,FALSE)</f>
        <v>1</v>
      </c>
      <c r="M87" s="38">
        <f t="shared" si="20"/>
        <v>26.18</v>
      </c>
      <c r="N87" s="92">
        <f t="shared" si="21"/>
        <v>0</v>
      </c>
      <c r="O87" s="38">
        <f ca="1">IF('SVS GrundRG'!H61="",0,'SVS GrundRG'!H61)</f>
        <v>0</v>
      </c>
      <c r="P87" s="38">
        <f t="shared" si="22"/>
        <v>0</v>
      </c>
      <c r="Q87" s="38">
        <f t="shared" si="23"/>
        <v>0</v>
      </c>
      <c r="R87" s="38">
        <f t="shared" si="24"/>
        <v>0</v>
      </c>
      <c r="S87" s="16" t="str">
        <f t="shared" si="25"/>
        <v>Leistungswert eintragen</v>
      </c>
      <c r="U87" s="16">
        <f t="shared" si="26"/>
        <v>24</v>
      </c>
      <c r="V87" s="16">
        <f t="shared" si="27"/>
        <v>7.1999999999999993</v>
      </c>
      <c r="W87" s="16">
        <f t="shared" si="28"/>
        <v>31.2</v>
      </c>
      <c r="X87" s="16" t="str">
        <f t="shared" si="29"/>
        <v/>
      </c>
    </row>
    <row r="88" spans="1:24" ht="15" customHeight="1" x14ac:dyDescent="0.2">
      <c r="A88" s="78">
        <v>67</v>
      </c>
      <c r="B88" s="88">
        <v>102</v>
      </c>
      <c r="C88" s="89" t="s">
        <v>348</v>
      </c>
      <c r="D88" s="89" t="s">
        <v>364</v>
      </c>
      <c r="E88" s="89" t="s">
        <v>321</v>
      </c>
      <c r="F88" s="89" t="s">
        <v>229</v>
      </c>
      <c r="G88" s="90">
        <v>38.78</v>
      </c>
      <c r="H88" s="90"/>
      <c r="I88" s="90"/>
      <c r="J88" s="78" t="s">
        <v>313</v>
      </c>
      <c r="K88" s="78" t="s">
        <v>160</v>
      </c>
      <c r="L88" s="38">
        <f>VLOOKUP(K88,Reinigungstage!A10:E31,5,FALSE)</f>
        <v>1</v>
      </c>
      <c r="M88" s="38">
        <f t="shared" si="20"/>
        <v>38.78</v>
      </c>
      <c r="N88" s="92">
        <f t="shared" si="21"/>
        <v>0</v>
      </c>
      <c r="O88" s="38">
        <f ca="1">IF('SVS GrundRG'!H61="",0,'SVS GrundRG'!H61)</f>
        <v>0</v>
      </c>
      <c r="P88" s="38">
        <f t="shared" si="22"/>
        <v>0</v>
      </c>
      <c r="Q88" s="38">
        <f t="shared" si="23"/>
        <v>0</v>
      </c>
      <c r="R88" s="38">
        <f t="shared" si="24"/>
        <v>0</v>
      </c>
      <c r="S88" s="16" t="str">
        <f t="shared" si="25"/>
        <v>Leistungswert eintragen</v>
      </c>
      <c r="U88" s="16">
        <f t="shared" si="26"/>
        <v>24</v>
      </c>
      <c r="V88" s="16">
        <f t="shared" si="27"/>
        <v>7.1999999999999993</v>
      </c>
      <c r="W88" s="16">
        <f t="shared" si="28"/>
        <v>31.2</v>
      </c>
      <c r="X88" s="16" t="str">
        <f t="shared" si="29"/>
        <v/>
      </c>
    </row>
    <row r="89" spans="1:24" ht="15" customHeight="1" x14ac:dyDescent="0.2">
      <c r="A89" s="78">
        <v>68</v>
      </c>
      <c r="B89" s="88">
        <v>103</v>
      </c>
      <c r="C89" s="89" t="s">
        <v>348</v>
      </c>
      <c r="D89" s="89" t="s">
        <v>364</v>
      </c>
      <c r="E89" s="89" t="s">
        <v>314</v>
      </c>
      <c r="F89" s="89" t="s">
        <v>229</v>
      </c>
      <c r="G89" s="90">
        <v>8</v>
      </c>
      <c r="H89" s="90"/>
      <c r="I89" s="90"/>
      <c r="J89" s="78" t="s">
        <v>314</v>
      </c>
      <c r="K89" s="78" t="s">
        <v>160</v>
      </c>
      <c r="L89" s="38">
        <f>VLOOKUP(K89,Reinigungstage!A10:E31,5,FALSE)</f>
        <v>1</v>
      </c>
      <c r="M89" s="38">
        <f t="shared" si="20"/>
        <v>8</v>
      </c>
      <c r="N89" s="92">
        <f t="shared" si="21"/>
        <v>0</v>
      </c>
      <c r="O89" s="38">
        <f ca="1">IF('SVS GrundRG'!H61="",0,'SVS GrundRG'!H61)</f>
        <v>0</v>
      </c>
      <c r="P89" s="38">
        <f t="shared" si="22"/>
        <v>0</v>
      </c>
      <c r="Q89" s="38">
        <f t="shared" si="23"/>
        <v>0</v>
      </c>
      <c r="R89" s="38">
        <f t="shared" si="24"/>
        <v>0</v>
      </c>
      <c r="S89" s="16" t="str">
        <f t="shared" si="25"/>
        <v>Leistungswert eintragen</v>
      </c>
      <c r="U89" s="16">
        <f t="shared" si="26"/>
        <v>13</v>
      </c>
      <c r="V89" s="16">
        <f t="shared" si="27"/>
        <v>3.9</v>
      </c>
      <c r="W89" s="16">
        <f t="shared" si="28"/>
        <v>16.899999999999999</v>
      </c>
      <c r="X89" s="16" t="str">
        <f t="shared" si="29"/>
        <v/>
      </c>
    </row>
    <row r="90" spans="1:24" ht="15" customHeight="1" x14ac:dyDescent="0.2">
      <c r="A90" s="78">
        <v>69</v>
      </c>
      <c r="B90" s="88">
        <v>104</v>
      </c>
      <c r="C90" s="89" t="s">
        <v>348</v>
      </c>
      <c r="D90" s="89" t="s">
        <v>364</v>
      </c>
      <c r="E90" s="89" t="s">
        <v>235</v>
      </c>
      <c r="F90" s="89" t="s">
        <v>227</v>
      </c>
      <c r="G90" s="90">
        <v>8.1300000000000008</v>
      </c>
      <c r="H90" s="90"/>
      <c r="I90" s="90"/>
      <c r="J90" s="78" t="s">
        <v>312</v>
      </c>
      <c r="K90" s="78" t="s">
        <v>160</v>
      </c>
      <c r="L90" s="38">
        <f>VLOOKUP(K90,Reinigungstage!A10:E31,5,FALSE)</f>
        <v>1</v>
      </c>
      <c r="M90" s="38">
        <f t="shared" si="20"/>
        <v>8.1300000000000008</v>
      </c>
      <c r="N90" s="92">
        <f t="shared" si="21"/>
        <v>0</v>
      </c>
      <c r="O90" s="38">
        <f ca="1">IF('SVS GrundRG'!H61="",0,'SVS GrundRG'!H61)</f>
        <v>0</v>
      </c>
      <c r="P90" s="38">
        <f t="shared" si="22"/>
        <v>0</v>
      </c>
      <c r="Q90" s="38">
        <f t="shared" si="23"/>
        <v>0</v>
      </c>
      <c r="R90" s="38">
        <f t="shared" si="24"/>
        <v>0</v>
      </c>
      <c r="S90" s="16" t="str">
        <f t="shared" si="25"/>
        <v>Leistungswert eintragen</v>
      </c>
      <c r="U90" s="16">
        <f t="shared" si="26"/>
        <v>7</v>
      </c>
      <c r="V90" s="16">
        <f t="shared" si="27"/>
        <v>2.1</v>
      </c>
      <c r="W90" s="16">
        <f t="shared" si="28"/>
        <v>9.1</v>
      </c>
      <c r="X90" s="16" t="str">
        <f t="shared" si="29"/>
        <v/>
      </c>
    </row>
    <row r="91" spans="1:24" ht="15" customHeight="1" x14ac:dyDescent="0.2">
      <c r="A91" s="78">
        <v>70</v>
      </c>
      <c r="B91" s="88">
        <v>105</v>
      </c>
      <c r="C91" s="89" t="s">
        <v>348</v>
      </c>
      <c r="D91" s="89" t="s">
        <v>364</v>
      </c>
      <c r="E91" s="89" t="s">
        <v>366</v>
      </c>
      <c r="F91" s="89" t="s">
        <v>227</v>
      </c>
      <c r="G91" s="90">
        <v>4.0999999999999996</v>
      </c>
      <c r="H91" s="90"/>
      <c r="I91" s="90"/>
      <c r="J91" s="78" t="s">
        <v>312</v>
      </c>
      <c r="K91" s="78" t="s">
        <v>160</v>
      </c>
      <c r="L91" s="38">
        <f>VLOOKUP(K91,Reinigungstage!A10:E31,5,FALSE)</f>
        <v>1</v>
      </c>
      <c r="M91" s="38">
        <f t="shared" si="20"/>
        <v>4.0999999999999996</v>
      </c>
      <c r="N91" s="92">
        <f t="shared" si="21"/>
        <v>0</v>
      </c>
      <c r="O91" s="38">
        <f ca="1">IF('SVS GrundRG'!H61="",0,'SVS GrundRG'!H61)</f>
        <v>0</v>
      </c>
      <c r="P91" s="38">
        <f t="shared" si="22"/>
        <v>0</v>
      </c>
      <c r="Q91" s="38">
        <f t="shared" si="23"/>
        <v>0</v>
      </c>
      <c r="R91" s="38">
        <f t="shared" si="24"/>
        <v>0</v>
      </c>
      <c r="S91" s="16" t="str">
        <f t="shared" si="25"/>
        <v>Leistungswert eintragen</v>
      </c>
      <c r="U91" s="16">
        <f t="shared" si="26"/>
        <v>7</v>
      </c>
      <c r="V91" s="16">
        <f t="shared" si="27"/>
        <v>2.1</v>
      </c>
      <c r="W91" s="16">
        <f t="shared" si="28"/>
        <v>9.1</v>
      </c>
      <c r="X91" s="16" t="str">
        <f t="shared" si="29"/>
        <v/>
      </c>
    </row>
    <row r="92" spans="1:24" ht="15" customHeight="1" x14ac:dyDescent="0.2">
      <c r="A92" s="78">
        <v>71</v>
      </c>
      <c r="B92" s="88">
        <v>106</v>
      </c>
      <c r="C92" s="89" t="s">
        <v>348</v>
      </c>
      <c r="D92" s="89" t="s">
        <v>364</v>
      </c>
      <c r="E92" s="89" t="s">
        <v>335</v>
      </c>
      <c r="F92" s="89" t="s">
        <v>229</v>
      </c>
      <c r="G92" s="90">
        <v>3.47</v>
      </c>
      <c r="H92" s="90"/>
      <c r="I92" s="90"/>
      <c r="J92" s="78" t="s">
        <v>313</v>
      </c>
      <c r="K92" s="78" t="s">
        <v>160</v>
      </c>
      <c r="L92" s="38">
        <f>VLOOKUP(K92,Reinigungstage!A10:E31,5,FALSE)</f>
        <v>1</v>
      </c>
      <c r="M92" s="38">
        <f t="shared" si="20"/>
        <v>3.47</v>
      </c>
      <c r="N92" s="92">
        <f t="shared" si="21"/>
        <v>0</v>
      </c>
      <c r="O92" s="38">
        <f ca="1">IF('SVS GrundRG'!H61="",0,'SVS GrundRG'!H61)</f>
        <v>0</v>
      </c>
      <c r="P92" s="38">
        <f t="shared" si="22"/>
        <v>0</v>
      </c>
      <c r="Q92" s="38">
        <f t="shared" si="23"/>
        <v>0</v>
      </c>
      <c r="R92" s="38">
        <f t="shared" si="24"/>
        <v>0</v>
      </c>
      <c r="S92" s="16" t="str">
        <f t="shared" si="25"/>
        <v>Leistungswert eintragen</v>
      </c>
      <c r="U92" s="16">
        <f t="shared" si="26"/>
        <v>24</v>
      </c>
      <c r="V92" s="16">
        <f t="shared" si="27"/>
        <v>7.1999999999999993</v>
      </c>
      <c r="W92" s="16">
        <f t="shared" si="28"/>
        <v>31.2</v>
      </c>
      <c r="X92" s="16" t="str">
        <f t="shared" si="29"/>
        <v/>
      </c>
    </row>
    <row r="93" spans="1:24" ht="15" customHeight="1" x14ac:dyDescent="0.2">
      <c r="A93" s="78">
        <v>72</v>
      </c>
      <c r="B93" s="88">
        <v>107</v>
      </c>
      <c r="C93" s="89" t="s">
        <v>348</v>
      </c>
      <c r="D93" s="89" t="s">
        <v>364</v>
      </c>
      <c r="E93" s="89" t="s">
        <v>373</v>
      </c>
      <c r="F93" s="89" t="s">
        <v>229</v>
      </c>
      <c r="G93" s="90">
        <v>8.35</v>
      </c>
      <c r="H93" s="90"/>
      <c r="I93" s="90"/>
      <c r="J93" s="78" t="s">
        <v>309</v>
      </c>
      <c r="K93" s="78" t="s">
        <v>160</v>
      </c>
      <c r="L93" s="38">
        <f>VLOOKUP(K93,Reinigungstage!A10:E31,5,FALSE)</f>
        <v>1</v>
      </c>
      <c r="M93" s="38">
        <f t="shared" si="20"/>
        <v>8.35</v>
      </c>
      <c r="N93" s="92">
        <f t="shared" si="21"/>
        <v>0</v>
      </c>
      <c r="O93" s="38">
        <f ca="1">IF('SVS GrundRG'!H61="",0,'SVS GrundRG'!H61)</f>
        <v>0</v>
      </c>
      <c r="P93" s="38">
        <f t="shared" si="22"/>
        <v>0</v>
      </c>
      <c r="Q93" s="38">
        <f t="shared" si="23"/>
        <v>0</v>
      </c>
      <c r="R93" s="38">
        <f t="shared" si="24"/>
        <v>0</v>
      </c>
      <c r="S93" s="16" t="str">
        <f t="shared" si="25"/>
        <v>Leistungswert eintragen</v>
      </c>
      <c r="U93" s="16">
        <f t="shared" si="26"/>
        <v>15</v>
      </c>
      <c r="V93" s="16">
        <f t="shared" si="27"/>
        <v>4.5</v>
      </c>
      <c r="W93" s="16">
        <f t="shared" si="28"/>
        <v>19.5</v>
      </c>
      <c r="X93" s="16" t="str">
        <f t="shared" si="29"/>
        <v/>
      </c>
    </row>
    <row r="94" spans="1:24" ht="15" customHeight="1" x14ac:dyDescent="0.2">
      <c r="A94" s="78">
        <v>73</v>
      </c>
      <c r="B94" s="88">
        <v>108</v>
      </c>
      <c r="C94" s="89" t="s">
        <v>348</v>
      </c>
      <c r="D94" s="89" t="s">
        <v>364</v>
      </c>
      <c r="E94" s="89" t="s">
        <v>374</v>
      </c>
      <c r="F94" s="89" t="s">
        <v>227</v>
      </c>
      <c r="G94" s="90">
        <v>3.26</v>
      </c>
      <c r="H94" s="90"/>
      <c r="I94" s="90"/>
      <c r="J94" s="78" t="s">
        <v>312</v>
      </c>
      <c r="K94" s="78" t="s">
        <v>160</v>
      </c>
      <c r="L94" s="38">
        <f>VLOOKUP(K94,Reinigungstage!A10:E31,5,FALSE)</f>
        <v>1</v>
      </c>
      <c r="M94" s="38">
        <f t="shared" si="20"/>
        <v>3.26</v>
      </c>
      <c r="N94" s="92">
        <f t="shared" si="21"/>
        <v>0</v>
      </c>
      <c r="O94" s="38">
        <f ca="1">IF('SVS GrundRG'!H61="",0,'SVS GrundRG'!H61)</f>
        <v>0</v>
      </c>
      <c r="P94" s="38">
        <f t="shared" si="22"/>
        <v>0</v>
      </c>
      <c r="Q94" s="38">
        <f t="shared" si="23"/>
        <v>0</v>
      </c>
      <c r="R94" s="38">
        <f t="shared" si="24"/>
        <v>0</v>
      </c>
      <c r="S94" s="16" t="str">
        <f t="shared" si="25"/>
        <v>Leistungswert eintragen</v>
      </c>
      <c r="U94" s="16">
        <f t="shared" si="26"/>
        <v>7</v>
      </c>
      <c r="V94" s="16">
        <f t="shared" si="27"/>
        <v>2.1</v>
      </c>
      <c r="W94" s="16">
        <f t="shared" si="28"/>
        <v>9.1</v>
      </c>
      <c r="X94" s="16" t="str">
        <f t="shared" si="29"/>
        <v/>
      </c>
    </row>
    <row r="95" spans="1:24" ht="15" customHeight="1" x14ac:dyDescent="0.2">
      <c r="A95" s="78">
        <v>74</v>
      </c>
      <c r="B95" s="88">
        <v>109</v>
      </c>
      <c r="C95" s="89" t="s">
        <v>348</v>
      </c>
      <c r="D95" s="89" t="s">
        <v>364</v>
      </c>
      <c r="E95" s="89" t="s">
        <v>375</v>
      </c>
      <c r="F95" s="89" t="s">
        <v>227</v>
      </c>
      <c r="G95" s="90">
        <v>4.97</v>
      </c>
      <c r="H95" s="90"/>
      <c r="I95" s="90"/>
      <c r="J95" s="78" t="s">
        <v>312</v>
      </c>
      <c r="K95" s="78" t="s">
        <v>160</v>
      </c>
      <c r="L95" s="38">
        <f>VLOOKUP(K95,Reinigungstage!A10:E31,5,FALSE)</f>
        <v>1</v>
      </c>
      <c r="M95" s="38">
        <f t="shared" si="20"/>
        <v>4.97</v>
      </c>
      <c r="N95" s="92">
        <f t="shared" si="21"/>
        <v>0</v>
      </c>
      <c r="O95" s="38">
        <f ca="1">IF('SVS GrundRG'!H61="",0,'SVS GrundRG'!H61)</f>
        <v>0</v>
      </c>
      <c r="P95" s="38">
        <f t="shared" si="22"/>
        <v>0</v>
      </c>
      <c r="Q95" s="38">
        <f t="shared" si="23"/>
        <v>0</v>
      </c>
      <c r="R95" s="38">
        <f t="shared" si="24"/>
        <v>0</v>
      </c>
      <c r="S95" s="16" t="str">
        <f t="shared" si="25"/>
        <v>Leistungswert eintragen</v>
      </c>
      <c r="U95" s="16">
        <f t="shared" si="26"/>
        <v>7</v>
      </c>
      <c r="V95" s="16">
        <f t="shared" si="27"/>
        <v>2.1</v>
      </c>
      <c r="W95" s="16">
        <f t="shared" si="28"/>
        <v>9.1</v>
      </c>
      <c r="X95" s="16" t="str">
        <f t="shared" si="29"/>
        <v/>
      </c>
    </row>
    <row r="96" spans="1:24" ht="15" customHeight="1" x14ac:dyDescent="0.2">
      <c r="A96" s="78">
        <v>75</v>
      </c>
      <c r="B96" s="88">
        <v>110</v>
      </c>
      <c r="C96" s="89" t="s">
        <v>348</v>
      </c>
      <c r="D96" s="89" t="s">
        <v>364</v>
      </c>
      <c r="E96" s="89" t="s">
        <v>237</v>
      </c>
      <c r="F96" s="89" t="s">
        <v>227</v>
      </c>
      <c r="G96" s="90">
        <v>9.09</v>
      </c>
      <c r="H96" s="90"/>
      <c r="I96" s="90"/>
      <c r="J96" s="78" t="s">
        <v>312</v>
      </c>
      <c r="K96" s="78" t="s">
        <v>160</v>
      </c>
      <c r="L96" s="38">
        <f>VLOOKUP(K96,Reinigungstage!A10:E31,5,FALSE)</f>
        <v>1</v>
      </c>
      <c r="M96" s="38">
        <f t="shared" si="20"/>
        <v>9.09</v>
      </c>
      <c r="N96" s="92">
        <f t="shared" si="21"/>
        <v>0</v>
      </c>
      <c r="O96" s="38">
        <f ca="1">IF('SVS GrundRG'!H61="",0,'SVS GrundRG'!H61)</f>
        <v>0</v>
      </c>
      <c r="P96" s="38">
        <f t="shared" si="22"/>
        <v>0</v>
      </c>
      <c r="Q96" s="38">
        <f t="shared" si="23"/>
        <v>0</v>
      </c>
      <c r="R96" s="38">
        <f t="shared" si="24"/>
        <v>0</v>
      </c>
      <c r="S96" s="16" t="str">
        <f t="shared" si="25"/>
        <v>Leistungswert eintragen</v>
      </c>
      <c r="U96" s="16">
        <f t="shared" si="26"/>
        <v>7</v>
      </c>
      <c r="V96" s="16">
        <f t="shared" si="27"/>
        <v>2.1</v>
      </c>
      <c r="W96" s="16">
        <f t="shared" si="28"/>
        <v>9.1</v>
      </c>
      <c r="X96" s="16" t="str">
        <f t="shared" si="29"/>
        <v/>
      </c>
    </row>
    <row r="97" spans="1:24" ht="15" customHeight="1" x14ac:dyDescent="0.2">
      <c r="A97" s="78">
        <v>76</v>
      </c>
      <c r="B97" s="88">
        <v>112</v>
      </c>
      <c r="C97" s="89" t="s">
        <v>348</v>
      </c>
      <c r="D97" s="89" t="s">
        <v>364</v>
      </c>
      <c r="E97" s="89" t="s">
        <v>341</v>
      </c>
      <c r="F97" s="89" t="s">
        <v>229</v>
      </c>
      <c r="G97" s="90">
        <v>4.9000000000000004</v>
      </c>
      <c r="H97" s="90"/>
      <c r="I97" s="90"/>
      <c r="J97" s="78" t="s">
        <v>313</v>
      </c>
      <c r="K97" s="78" t="s">
        <v>160</v>
      </c>
      <c r="L97" s="38">
        <f>VLOOKUP(K97,Reinigungstage!A10:E31,5,FALSE)</f>
        <v>1</v>
      </c>
      <c r="M97" s="38">
        <f t="shared" si="20"/>
        <v>4.9000000000000004</v>
      </c>
      <c r="N97" s="92">
        <f t="shared" si="21"/>
        <v>0</v>
      </c>
      <c r="O97" s="38">
        <f ca="1">IF('SVS GrundRG'!H61="",0,'SVS GrundRG'!H61)</f>
        <v>0</v>
      </c>
      <c r="P97" s="38">
        <f t="shared" si="22"/>
        <v>0</v>
      </c>
      <c r="Q97" s="38">
        <f t="shared" si="23"/>
        <v>0</v>
      </c>
      <c r="R97" s="38">
        <f t="shared" si="24"/>
        <v>0</v>
      </c>
      <c r="S97" s="16" t="str">
        <f t="shared" si="25"/>
        <v>Leistungswert eintragen</v>
      </c>
      <c r="U97" s="16">
        <f t="shared" si="26"/>
        <v>24</v>
      </c>
      <c r="V97" s="16">
        <f t="shared" si="27"/>
        <v>7.1999999999999993</v>
      </c>
      <c r="W97" s="16">
        <f t="shared" si="28"/>
        <v>31.2</v>
      </c>
      <c r="X97" s="16" t="str">
        <f t="shared" si="29"/>
        <v/>
      </c>
    </row>
    <row r="98" spans="1:24" ht="15" customHeight="1" x14ac:dyDescent="0.2">
      <c r="A98" s="78">
        <v>77</v>
      </c>
      <c r="B98" s="88" t="s">
        <v>376</v>
      </c>
      <c r="C98" s="89" t="s">
        <v>348</v>
      </c>
      <c r="D98" s="89" t="s">
        <v>364</v>
      </c>
      <c r="E98" s="89" t="s">
        <v>232</v>
      </c>
      <c r="F98" s="89" t="s">
        <v>229</v>
      </c>
      <c r="G98" s="90">
        <v>15.98</v>
      </c>
      <c r="H98" s="90"/>
      <c r="I98" s="90"/>
      <c r="J98" s="78" t="s">
        <v>311</v>
      </c>
      <c r="K98" s="78" t="s">
        <v>160</v>
      </c>
      <c r="L98" s="38">
        <f>VLOOKUP(K98,Reinigungstage!A10:E31,5,FALSE)</f>
        <v>1</v>
      </c>
      <c r="M98" s="38">
        <f t="shared" si="20"/>
        <v>15.98</v>
      </c>
      <c r="N98" s="92">
        <f t="shared" si="21"/>
        <v>0</v>
      </c>
      <c r="O98" s="38">
        <f ca="1">IF('SVS GrundRG'!H61="",0,'SVS GrundRG'!H61)</f>
        <v>0</v>
      </c>
      <c r="P98" s="38">
        <f t="shared" si="22"/>
        <v>0</v>
      </c>
      <c r="Q98" s="38">
        <f t="shared" si="23"/>
        <v>0</v>
      </c>
      <c r="R98" s="38">
        <f t="shared" si="24"/>
        <v>0</v>
      </c>
      <c r="S98" s="16" t="str">
        <f t="shared" si="25"/>
        <v>Leistungswert eintragen</v>
      </c>
      <c r="U98" s="16">
        <f t="shared" si="26"/>
        <v>15</v>
      </c>
      <c r="V98" s="16">
        <f t="shared" si="27"/>
        <v>4.5</v>
      </c>
      <c r="W98" s="16">
        <f t="shared" si="28"/>
        <v>19.5</v>
      </c>
      <c r="X98" s="16" t="str">
        <f t="shared" si="29"/>
        <v/>
      </c>
    </row>
    <row r="99" spans="1:24" ht="15" customHeight="1" x14ac:dyDescent="0.2">
      <c r="A99" s="78">
        <v>78</v>
      </c>
      <c r="B99" s="88">
        <v>113</v>
      </c>
      <c r="C99" s="89" t="s">
        <v>348</v>
      </c>
      <c r="D99" s="89" t="s">
        <v>364</v>
      </c>
      <c r="E99" s="89" t="s">
        <v>232</v>
      </c>
      <c r="F99" s="89" t="s">
        <v>229</v>
      </c>
      <c r="G99" s="90">
        <v>41.87</v>
      </c>
      <c r="H99" s="90"/>
      <c r="I99" s="90"/>
      <c r="J99" s="78" t="s">
        <v>311</v>
      </c>
      <c r="K99" s="78" t="s">
        <v>160</v>
      </c>
      <c r="L99" s="38">
        <f>VLOOKUP(K99,Reinigungstage!A10:E31,5,FALSE)</f>
        <v>1</v>
      </c>
      <c r="M99" s="38">
        <f t="shared" si="20"/>
        <v>41.87</v>
      </c>
      <c r="N99" s="92">
        <f t="shared" si="21"/>
        <v>0</v>
      </c>
      <c r="O99" s="38">
        <f ca="1">IF('SVS GrundRG'!H61="",0,'SVS GrundRG'!H61)</f>
        <v>0</v>
      </c>
      <c r="P99" s="38">
        <f t="shared" si="22"/>
        <v>0</v>
      </c>
      <c r="Q99" s="38">
        <f t="shared" si="23"/>
        <v>0</v>
      </c>
      <c r="R99" s="38">
        <f t="shared" si="24"/>
        <v>0</v>
      </c>
      <c r="S99" s="16" t="str">
        <f t="shared" si="25"/>
        <v>Leistungswert eintragen</v>
      </c>
      <c r="U99" s="16">
        <f t="shared" si="26"/>
        <v>15</v>
      </c>
      <c r="V99" s="16">
        <f t="shared" si="27"/>
        <v>4.5</v>
      </c>
      <c r="W99" s="16">
        <f t="shared" si="28"/>
        <v>19.5</v>
      </c>
      <c r="X99" s="16" t="str">
        <f t="shared" si="29"/>
        <v/>
      </c>
    </row>
    <row r="100" spans="1:24" ht="15" customHeight="1" x14ac:dyDescent="0.2">
      <c r="A100" s="78">
        <v>79</v>
      </c>
      <c r="B100" s="88">
        <v>114</v>
      </c>
      <c r="C100" s="89" t="s">
        <v>348</v>
      </c>
      <c r="D100" s="89" t="s">
        <v>364</v>
      </c>
      <c r="E100" s="89" t="s">
        <v>232</v>
      </c>
      <c r="F100" s="89" t="s">
        <v>229</v>
      </c>
      <c r="G100" s="90">
        <v>59.57</v>
      </c>
      <c r="H100" s="90"/>
      <c r="I100" s="90"/>
      <c r="J100" s="78" t="s">
        <v>311</v>
      </c>
      <c r="K100" s="78" t="s">
        <v>160</v>
      </c>
      <c r="L100" s="38">
        <f>VLOOKUP(K100,Reinigungstage!A10:E31,5,FALSE)</f>
        <v>1</v>
      </c>
      <c r="M100" s="38">
        <f t="shared" si="20"/>
        <v>59.57</v>
      </c>
      <c r="N100" s="92">
        <f t="shared" si="21"/>
        <v>0</v>
      </c>
      <c r="O100" s="38">
        <f ca="1">IF('SVS GrundRG'!H61="",0,'SVS GrundRG'!H61)</f>
        <v>0</v>
      </c>
      <c r="P100" s="38">
        <f t="shared" si="22"/>
        <v>0</v>
      </c>
      <c r="Q100" s="38">
        <f t="shared" si="23"/>
        <v>0</v>
      </c>
      <c r="R100" s="38">
        <f t="shared" si="24"/>
        <v>0</v>
      </c>
      <c r="S100" s="16" t="str">
        <f t="shared" si="25"/>
        <v>Leistungswert eintragen</v>
      </c>
      <c r="U100" s="16">
        <f t="shared" si="26"/>
        <v>15</v>
      </c>
      <c r="V100" s="16">
        <f t="shared" si="27"/>
        <v>4.5</v>
      </c>
      <c r="W100" s="16">
        <f t="shared" si="28"/>
        <v>19.5</v>
      </c>
      <c r="X100" s="16" t="str">
        <f t="shared" si="29"/>
        <v/>
      </c>
    </row>
    <row r="101" spans="1:24" ht="15" customHeight="1" x14ac:dyDescent="0.2">
      <c r="A101" s="78">
        <v>80</v>
      </c>
      <c r="B101" s="88">
        <v>115</v>
      </c>
      <c r="C101" s="89" t="s">
        <v>348</v>
      </c>
      <c r="D101" s="89" t="s">
        <v>364</v>
      </c>
      <c r="E101" s="89" t="s">
        <v>341</v>
      </c>
      <c r="F101" s="89" t="s">
        <v>229</v>
      </c>
      <c r="G101" s="90">
        <v>4.8600000000000003</v>
      </c>
      <c r="H101" s="90"/>
      <c r="I101" s="90"/>
      <c r="J101" s="78" t="s">
        <v>313</v>
      </c>
      <c r="K101" s="78" t="s">
        <v>160</v>
      </c>
      <c r="L101" s="38">
        <f>VLOOKUP(K101,Reinigungstage!A10:E31,5,FALSE)</f>
        <v>1</v>
      </c>
      <c r="M101" s="38">
        <f t="shared" ref="M101:M103" si="30">ROUND(IF(L101=0,0,L101*G101),2)</f>
        <v>4.8600000000000003</v>
      </c>
      <c r="N101" s="92">
        <f t="shared" si="21"/>
        <v>0</v>
      </c>
      <c r="O101" s="38">
        <f ca="1">IF('SVS GrundRG'!H61="",0,'SVS GrundRG'!H61)</f>
        <v>0</v>
      </c>
      <c r="P101" s="38">
        <f t="shared" si="22"/>
        <v>0</v>
      </c>
      <c r="Q101" s="38">
        <f t="shared" ref="Q101:Q103" si="31">ROUND(IF(P101=0,0,P101*O101),2)</f>
        <v>0</v>
      </c>
      <c r="R101" s="38">
        <f t="shared" ref="R101:R103" si="32">ROUND(IF(P101=0,0,Q101/L101),2)</f>
        <v>0</v>
      </c>
      <c r="S101" s="16" t="str">
        <f t="shared" si="25"/>
        <v>Leistungswert eintragen</v>
      </c>
      <c r="U101" s="16">
        <f t="shared" si="26"/>
        <v>24</v>
      </c>
      <c r="V101" s="16">
        <f t="shared" ref="V101:V103" si="33">U101*30%</f>
        <v>7.1999999999999993</v>
      </c>
      <c r="W101" s="16">
        <f t="shared" ref="W101:W103" si="34">SUM(U101:V101)</f>
        <v>31.2</v>
      </c>
      <c r="X101" s="16" t="str">
        <f t="shared" ref="X101:X103" si="35">IF(N101=0,"",IF(W101&lt;N101,1,IF(W101&gt;=N101,0,"")))</f>
        <v/>
      </c>
    </row>
    <row r="102" spans="1:24" ht="15" customHeight="1" x14ac:dyDescent="0.2">
      <c r="A102" s="78">
        <v>81</v>
      </c>
      <c r="B102" s="88">
        <v>116</v>
      </c>
      <c r="C102" s="89" t="s">
        <v>348</v>
      </c>
      <c r="D102" s="89" t="s">
        <v>364</v>
      </c>
      <c r="E102" s="89" t="s">
        <v>232</v>
      </c>
      <c r="F102" s="89" t="s">
        <v>229</v>
      </c>
      <c r="G102" s="90">
        <v>59.53</v>
      </c>
      <c r="H102" s="90"/>
      <c r="I102" s="90"/>
      <c r="J102" s="78" t="s">
        <v>311</v>
      </c>
      <c r="K102" s="78" t="s">
        <v>160</v>
      </c>
      <c r="L102" s="38">
        <f>VLOOKUP(K102,Reinigungstage!A10:E31,5,FALSE)</f>
        <v>1</v>
      </c>
      <c r="M102" s="38">
        <f t="shared" si="30"/>
        <v>59.53</v>
      </c>
      <c r="N102" s="92">
        <f t="shared" si="21"/>
        <v>0</v>
      </c>
      <c r="O102" s="38">
        <f ca="1">IF('SVS GrundRG'!H61="",0,'SVS GrundRG'!H61)</f>
        <v>0</v>
      </c>
      <c r="P102" s="38">
        <f t="shared" si="22"/>
        <v>0</v>
      </c>
      <c r="Q102" s="38">
        <f t="shared" si="31"/>
        <v>0</v>
      </c>
      <c r="R102" s="38">
        <f t="shared" si="32"/>
        <v>0</v>
      </c>
      <c r="S102" s="16" t="str">
        <f t="shared" si="25"/>
        <v>Leistungswert eintragen</v>
      </c>
      <c r="U102" s="16">
        <f t="shared" si="26"/>
        <v>15</v>
      </c>
      <c r="V102" s="16">
        <f t="shared" si="33"/>
        <v>4.5</v>
      </c>
      <c r="W102" s="16">
        <f t="shared" si="34"/>
        <v>19.5</v>
      </c>
      <c r="X102" s="16" t="str">
        <f t="shared" si="35"/>
        <v/>
      </c>
    </row>
    <row r="103" spans="1:24" ht="15" customHeight="1" x14ac:dyDescent="0.2">
      <c r="A103" s="78">
        <v>82</v>
      </c>
      <c r="B103" s="88">
        <v>117</v>
      </c>
      <c r="C103" s="89" t="s">
        <v>348</v>
      </c>
      <c r="D103" s="89" t="s">
        <v>364</v>
      </c>
      <c r="E103" s="89" t="s">
        <v>341</v>
      </c>
      <c r="F103" s="89" t="s">
        <v>229</v>
      </c>
      <c r="G103" s="90">
        <v>5.07</v>
      </c>
      <c r="H103" s="90"/>
      <c r="I103" s="90"/>
      <c r="J103" s="78" t="s">
        <v>313</v>
      </c>
      <c r="K103" s="78" t="s">
        <v>160</v>
      </c>
      <c r="L103" s="38">
        <f>VLOOKUP(K103,Reinigungstage!A10:E31,5,FALSE)</f>
        <v>1</v>
      </c>
      <c r="M103" s="38">
        <f t="shared" si="30"/>
        <v>5.07</v>
      </c>
      <c r="N103" s="92">
        <f t="shared" si="21"/>
        <v>0</v>
      </c>
      <c r="O103" s="38">
        <f ca="1">IF('SVS GrundRG'!H61="",0,'SVS GrundRG'!H61)</f>
        <v>0</v>
      </c>
      <c r="P103" s="38">
        <f t="shared" si="22"/>
        <v>0</v>
      </c>
      <c r="Q103" s="38">
        <f t="shared" si="31"/>
        <v>0</v>
      </c>
      <c r="R103" s="38">
        <f t="shared" si="32"/>
        <v>0</v>
      </c>
      <c r="S103" s="16" t="str">
        <f t="shared" si="25"/>
        <v>Leistungswert eintragen</v>
      </c>
      <c r="U103" s="16">
        <f t="shared" si="26"/>
        <v>24</v>
      </c>
      <c r="V103" s="16">
        <f t="shared" si="33"/>
        <v>7.1999999999999993</v>
      </c>
      <c r="W103" s="16">
        <f t="shared" si="34"/>
        <v>31.2</v>
      </c>
      <c r="X103" s="16" t="str">
        <f t="shared" si="35"/>
        <v/>
      </c>
    </row>
  </sheetData>
  <sheetProtection algorithmName="SHA-512" hashValue="DMN4xUyDT5nHGYOyHFNPZt6I6wGaeBAniaFksInRt/M4k754rfvUNzxzB7UI3TC2HosvZ5Ip9RkEd6zrLa36xQ==" saltValue="Eia9mhSR+hOTkkXD/E4NfA==" spinCount="100000" sheet="1" objects="1" scenarios="1"/>
  <sortState xmlns:xlrd2="http://schemas.microsoft.com/office/spreadsheetml/2017/richdata2" ref="U4:U13">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51"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50" priority="5" operator="containsText" text="Bitte prüfen Sie diese.">
      <formula>NOT(ISERROR(SEARCH("Bitte prüfen Sie diese.",L9)))</formula>
    </cfRule>
  </conditionalFormatting>
  <conditionalFormatting sqref="L10">
    <cfRule type="containsText" dxfId="49"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48" priority="3" operator="containsText" text="lediglich Fehleingaben vermeiden wollen.">
      <formula>NOT(ISERROR(SEARCH("lediglich Fehleingaben vermeiden wollen.",L11)))</formula>
    </cfRule>
  </conditionalFormatting>
  <conditionalFormatting sqref="M11">
    <cfRule type="containsText" dxfId="47" priority="8" operator="containsText" text="Bitte die Leistungswerte im Leistungsverzeichnis/ Tabellenblatt Leistungsrichtwerte">
      <formula>NOT(ISERROR(SEARCH("Bitte die Leistungswerte im Leistungsverzeichnis/ Tabellenblatt Leistungsrichtwerte",M11)))</formula>
    </cfRule>
  </conditionalFormatting>
  <conditionalFormatting sqref="M12">
    <cfRule type="containsText" dxfId="46" priority="7" operator="containsText" text="für die Objektart prüfen.">
      <formula>NOT(ISERROR(SEARCH("für die Objektart prüfen.",M12)))</formula>
    </cfRule>
  </conditionalFormatting>
  <conditionalFormatting sqref="N13">
    <cfRule type="expression" dxfId="45" priority="2" stopIfTrue="1">
      <formula>N13=0</formula>
    </cfRule>
  </conditionalFormatting>
  <conditionalFormatting sqref="N14">
    <cfRule type="expression" dxfId="44" priority="1">
      <formula>N14=0</formula>
    </cfRule>
  </conditionalFormatting>
  <conditionalFormatting sqref="N22:N103">
    <cfRule type="expression" dxfId="43" priority="11">
      <formula>X22=0</formula>
    </cfRule>
    <cfRule type="expression" dxfId="42" priority="12" stopIfTrue="1">
      <formula>X22=1</formula>
    </cfRule>
  </conditionalFormatting>
  <conditionalFormatting sqref="O13">
    <cfRule type="containsText" dxfId="41" priority="10"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40" priority="9" operator="containsText" text="Wert(e) prüfen.">
      <formula>NOT(ISERROR(SEARCH("Wert(e) prüfen.",O14)))</formula>
    </cfRule>
  </conditionalFormatting>
  <conditionalFormatting sqref="S22:S103">
    <cfRule type="containsText" dxfId="39" priority="13" stopIfTrue="1" operator="containsText" text="SVS prüfen">
      <formula>NOT(ISERROR(SEARCH("SVS prüfen",S22)))</formula>
    </cfRule>
    <cfRule type="containsText" dxfId="38" priority="14" stopIfTrue="1" operator="containsText" text="Leistungswert eintragen">
      <formula>NOT(ISERROR(SEARCH("Leistungswert eintragen",S22)))</formula>
    </cfRule>
  </conditionalFormatting>
  <hyperlinks>
    <hyperlink ref="M1" location="Inhaltsverzeichnis!A1" display="Zurück zum Inhaltsverzeichnis" xr:uid="{CC46A487-3F98-4746-AC3D-9114673B2995}"/>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Grund Hort mit TH</oddFooter>
  </headerFooter>
  <rowBreaks count="1" manualBreakCount="1">
    <brk id="103" max="16383" man="1"/>
  </rowBreaks>
  <colBreaks count="1" manualBreakCount="1">
    <brk id="1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9569"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109570" r:id="rId5" name="Check Box 2">
              <controlPr defaultSize="0" autoFill="0" autoLine="0" autoPict="0" altText="Hinweis 2">
                <anchor moveWithCells="1">
                  <from>
                    <xdr:col>12</xdr:col>
                    <xdr:colOff>0</xdr:colOff>
                    <xdr:row>1</xdr:row>
                    <xdr:rowOff>238125</xdr:rowOff>
                  </from>
                  <to>
                    <xdr:col>13</xdr:col>
                    <xdr:colOff>0</xdr:colOff>
                    <xdr:row>2</xdr:row>
                    <xdr:rowOff>209550</xdr:rowOff>
                  </to>
                </anchor>
              </controlPr>
            </control>
          </mc:Choice>
        </mc:AlternateContent>
        <mc:AlternateContent xmlns:mc="http://schemas.openxmlformats.org/markup-compatibility/2006">
          <mc:Choice Requires="x14">
            <control shapeId="109571" r:id="rId6" name="Check Box 3">
              <controlPr defaultSize="0" autoFill="0" autoLine="0" autoPict="0" altText="Hinweis 3">
                <anchor moveWithCells="1">
                  <from>
                    <xdr:col>12</xdr:col>
                    <xdr:colOff>0</xdr:colOff>
                    <xdr:row>2</xdr:row>
                    <xdr:rowOff>219075</xdr:rowOff>
                  </from>
                  <to>
                    <xdr:col>13</xdr:col>
                    <xdr:colOff>0</xdr:colOff>
                    <xdr:row>3</xdr:row>
                    <xdr:rowOff>142875</xdr:rowOff>
                  </to>
                </anchor>
              </controlPr>
            </control>
          </mc:Choice>
        </mc:AlternateContent>
        <mc:AlternateContent xmlns:mc="http://schemas.openxmlformats.org/markup-compatibility/2006">
          <mc:Choice Requires="x14">
            <control shapeId="109572"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204C1-689D-4F0B-9B65-3EC38389C228}">
  <sheetPr>
    <tabColor indexed="40"/>
  </sheetPr>
  <dimension ref="A1:V102"/>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7109375" style="16" customWidth="1"/>
    <col min="2" max="2" width="7.7109375" style="16" customWidth="1"/>
    <col min="3" max="3" width="5.7109375" style="16" customWidth="1"/>
    <col min="4" max="4" width="13" style="16" customWidth="1"/>
    <col min="5" max="5" width="21.7109375" style="16" customWidth="1"/>
    <col min="6" max="6" width="13.5703125" style="16" bestFit="1"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2.140625" style="16" customWidth="1"/>
    <col min="14" max="14" width="9.42578125" style="16" customWidth="1"/>
    <col min="15" max="15" width="8.42578125" style="16" customWidth="1"/>
    <col min="16" max="17" width="11.42578125" style="16" customWidth="1"/>
    <col min="18" max="19" width="11.28515625" style="16" customWidth="1"/>
    <col min="20" max="20" width="22.28515625" style="16" customWidth="1"/>
    <col min="21" max="21" width="0" style="16" hidden="1" customWidth="1"/>
    <col min="22" max="16384" width="11.42578125" style="16" hidden="1"/>
  </cols>
  <sheetData>
    <row r="1" spans="1:22" ht="15" customHeight="1" x14ac:dyDescent="0.2">
      <c r="M1" s="1" t="s">
        <v>100</v>
      </c>
    </row>
    <row r="2" spans="1:22" ht="21" customHeight="1" x14ac:dyDescent="0.2">
      <c r="A2" s="167" t="s">
        <v>172</v>
      </c>
      <c r="B2" s="168"/>
      <c r="C2" s="168"/>
      <c r="D2" s="168" t="b">
        <v>0</v>
      </c>
      <c r="E2" s="169"/>
      <c r="G2" s="170" t="s">
        <v>185</v>
      </c>
      <c r="H2" s="170" t="s">
        <v>177</v>
      </c>
      <c r="I2" s="170" t="s">
        <v>178</v>
      </c>
      <c r="J2" s="170" t="s">
        <v>197</v>
      </c>
      <c r="M2" s="8"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2" ht="21" customHeight="1" x14ac:dyDescent="0.2">
      <c r="A3" s="75" t="s">
        <v>223</v>
      </c>
      <c r="B3" s="76"/>
      <c r="C3" s="76"/>
      <c r="D3" s="76"/>
      <c r="E3" s="77"/>
      <c r="G3" s="171"/>
      <c r="H3" s="171" t="b">
        <v>0</v>
      </c>
      <c r="I3" s="171"/>
      <c r="J3" s="171"/>
      <c r="M3" s="8" t="b">
        <v>0</v>
      </c>
      <c r="N3" s="129"/>
      <c r="O3" s="129"/>
      <c r="P3" s="129"/>
      <c r="Q3" s="129"/>
    </row>
    <row r="4" spans="1:22" ht="15" customHeight="1" x14ac:dyDescent="0.2">
      <c r="A4" s="165" t="s">
        <v>91</v>
      </c>
      <c r="B4" s="153" t="str">
        <f>IF(Inhaltsverzeichnis!C3="","",Inhaltsverzeichnis!C3)</f>
        <v/>
      </c>
      <c r="C4" s="154"/>
      <c r="D4" s="154"/>
      <c r="E4" s="155"/>
      <c r="G4" s="78" t="s">
        <v>314</v>
      </c>
      <c r="H4" s="91"/>
      <c r="I4" s="79">
        <f ca="1">SUMIF('Kal Unter Fer Hort mit TH'!J22:M102,$G$4,'Kal Unter Fer Hort mit TH'!M22:M102)</f>
        <v>589.04999999999995</v>
      </c>
      <c r="J4" s="23">
        <f>COUNTIFS('Kal Unter Fer Hort mit TH'!J22:M102,$G$4)</f>
        <v>4</v>
      </c>
      <c r="M4" s="8" t="b">
        <v>0</v>
      </c>
      <c r="N4" s="129"/>
      <c r="O4" s="129"/>
      <c r="P4" s="129"/>
      <c r="Q4" s="129"/>
      <c r="U4" s="78" t="s">
        <v>314</v>
      </c>
      <c r="V4" s="16">
        <v>195</v>
      </c>
    </row>
    <row r="5" spans="1:22" ht="15" customHeight="1" x14ac:dyDescent="0.2">
      <c r="A5" s="166"/>
      <c r="B5" s="156"/>
      <c r="C5" s="157"/>
      <c r="D5" s="157"/>
      <c r="E5" s="158"/>
      <c r="G5" s="78" t="s">
        <v>309</v>
      </c>
      <c r="H5" s="91"/>
      <c r="I5" s="79">
        <f ca="1">SUMIF('Kal Unter Fer Hort mit TH'!J22:M102,$G$5,'Kal Unter Fer Hort mit TH'!M22:M102)</f>
        <v>829.5</v>
      </c>
      <c r="J5" s="23">
        <f>COUNTIFS('Kal Unter Fer Hort mit TH'!J22:M102,$G$5)</f>
        <v>4</v>
      </c>
      <c r="M5" s="8" t="b">
        <v>0</v>
      </c>
      <c r="N5" s="129"/>
      <c r="O5" s="129"/>
      <c r="P5" s="129"/>
      <c r="Q5" s="129"/>
      <c r="U5" s="78" t="s">
        <v>309</v>
      </c>
      <c r="V5" s="16">
        <v>215</v>
      </c>
    </row>
    <row r="6" spans="1:22" ht="15" customHeight="1" x14ac:dyDescent="0.2">
      <c r="A6" s="80" t="s">
        <v>195</v>
      </c>
      <c r="B6" s="159" t="s">
        <v>215</v>
      </c>
      <c r="C6" s="160"/>
      <c r="D6" s="160"/>
      <c r="E6" s="161"/>
      <c r="G6" s="78" t="s">
        <v>311</v>
      </c>
      <c r="H6" s="91"/>
      <c r="I6" s="79">
        <f ca="1">SUMIF('Kal Unter Fer Hort mit TH'!J22:M102,$G$6,'Kal Unter Fer Hort mit TH'!M22:M102)</f>
        <v>36646.390000000007</v>
      </c>
      <c r="J6" s="23">
        <f>COUNTIFS('Kal Unter Fer Hort mit TH'!J22:M102,$G$6)</f>
        <v>16</v>
      </c>
      <c r="U6" s="78" t="s">
        <v>311</v>
      </c>
      <c r="V6" s="16">
        <v>170</v>
      </c>
    </row>
    <row r="7" spans="1:22" ht="15" customHeight="1" x14ac:dyDescent="0.2">
      <c r="A7" s="81" t="s">
        <v>193</v>
      </c>
      <c r="B7" s="162" t="s">
        <v>221</v>
      </c>
      <c r="C7" s="160"/>
      <c r="D7" s="160"/>
      <c r="E7" s="161"/>
      <c r="G7" s="78" t="s">
        <v>312</v>
      </c>
      <c r="H7" s="91"/>
      <c r="I7" s="79">
        <f ca="1">SUMIF('Kal Unter Fer Hort mit TH'!J22:M102,$G$7,'Kal Unter Fer Hort mit TH'!M22:M102)</f>
        <v>6564.4899999999989</v>
      </c>
      <c r="J7" s="23">
        <f>COUNTIFS('Kal Unter Fer Hort mit TH'!J22:M102,$G$7)</f>
        <v>19</v>
      </c>
      <c r="U7" s="78" t="s">
        <v>312</v>
      </c>
      <c r="V7" s="16">
        <v>75</v>
      </c>
    </row>
    <row r="8" spans="1:22" ht="15" customHeight="1" x14ac:dyDescent="0.2">
      <c r="A8" s="81" t="s">
        <v>194</v>
      </c>
      <c r="B8" s="159" t="s">
        <v>222</v>
      </c>
      <c r="C8" s="160"/>
      <c r="D8" s="160"/>
      <c r="E8" s="161"/>
      <c r="G8" s="78" t="s">
        <v>317</v>
      </c>
      <c r="H8" s="91"/>
      <c r="I8" s="79">
        <f ca="1">SUMIF('Kal Unter Fer Hort mit TH'!J22:M102,$G$8,'Kal Unter Fer Hort mit TH'!M22:M102)</f>
        <v>14080.47</v>
      </c>
      <c r="J8" s="23">
        <f>COUNTIFS('Kal Unter Fer Hort mit TH'!J22:M102,$G$8)</f>
        <v>1</v>
      </c>
      <c r="U8" s="78" t="s">
        <v>317</v>
      </c>
      <c r="V8" s="16">
        <v>450</v>
      </c>
    </row>
    <row r="9" spans="1:22" ht="15" customHeight="1" x14ac:dyDescent="0.2">
      <c r="A9" s="80" t="s">
        <v>192</v>
      </c>
      <c r="B9" s="163" t="s">
        <v>220</v>
      </c>
      <c r="C9" s="160"/>
      <c r="D9" s="160"/>
      <c r="E9" s="161"/>
      <c r="G9" s="78" t="s">
        <v>310</v>
      </c>
      <c r="H9" s="91"/>
      <c r="I9" s="79">
        <f ca="1">SUMIF('Kal Unter Fer Hort mit TH'!J22:M102,$G$9,'Kal Unter Fer Hort mit TH'!M22:M102)</f>
        <v>9.41</v>
      </c>
      <c r="J9" s="23">
        <f>COUNTIFS('Kal Unter Fer Hort mit TH'!J22:M102,$G$9)</f>
        <v>1</v>
      </c>
      <c r="U9" s="78" t="s">
        <v>310</v>
      </c>
      <c r="V9" s="16">
        <v>300</v>
      </c>
    </row>
    <row r="10" spans="1:22" ht="15" customHeight="1" x14ac:dyDescent="0.2">
      <c r="A10" s="81" t="s">
        <v>174</v>
      </c>
      <c r="B10" s="159" t="s">
        <v>217</v>
      </c>
      <c r="C10" s="160"/>
      <c r="D10" s="160"/>
      <c r="E10" s="161"/>
      <c r="G10" s="78" t="s">
        <v>307</v>
      </c>
      <c r="H10" s="91"/>
      <c r="I10" s="79">
        <f ca="1">SUMIF('Kal Unter Fer Hort mit TH'!J22:M102,$G$10,'Kal Unter Fer Hort mit TH'!M22:M102)</f>
        <v>4322.58</v>
      </c>
      <c r="J10" s="23">
        <f>COUNTIFS('Kal Unter Fer Hort mit TH'!J22:M102,$G$10)</f>
        <v>8</v>
      </c>
      <c r="U10" s="78" t="s">
        <v>307</v>
      </c>
      <c r="V10" s="16">
        <v>165</v>
      </c>
    </row>
    <row r="11" spans="1:22" ht="15" customHeight="1" x14ac:dyDescent="0.2">
      <c r="A11" s="81" t="s">
        <v>175</v>
      </c>
      <c r="B11" s="164" t="s">
        <v>218</v>
      </c>
      <c r="C11" s="160"/>
      <c r="D11" s="160"/>
      <c r="E11" s="161"/>
      <c r="G11" s="78" t="s">
        <v>316</v>
      </c>
      <c r="H11" s="91"/>
      <c r="I11" s="79">
        <f ca="1">SUMIF('Kal Unter Fer Hort mit TH'!J22:M102,$G$11,'Kal Unter Fer Hort mit TH'!M22:M102)</f>
        <v>2106.91</v>
      </c>
      <c r="J11" s="23">
        <f>COUNTIFS('Kal Unter Fer Hort mit TH'!J22:M102,$G$11)</f>
        <v>5</v>
      </c>
      <c r="M11" s="16" t="str">
        <f>IF(N13&gt;0,"Bitte die Leistungswerte im Leistungsverzeichnis/ Tabellenblatt Leistungsrichtwerte","")</f>
        <v/>
      </c>
      <c r="U11" s="78" t="s">
        <v>316</v>
      </c>
      <c r="V11" s="16">
        <v>220</v>
      </c>
    </row>
    <row r="12" spans="1:22" ht="15" customHeight="1" x14ac:dyDescent="0.2">
      <c r="A12" s="81" t="s">
        <v>176</v>
      </c>
      <c r="B12" s="159" t="s">
        <v>219</v>
      </c>
      <c r="C12" s="160"/>
      <c r="D12" s="160"/>
      <c r="E12" s="161"/>
      <c r="G12" s="78" t="s">
        <v>313</v>
      </c>
      <c r="H12" s="91"/>
      <c r="I12" s="79">
        <f ca="1">SUMIF('Kal Unter Fer Hort mit TH'!J22:M102,$G$12,'Kal Unter Fer Hort mit TH'!M22:M102)</f>
        <v>28579.03</v>
      </c>
      <c r="J12" s="23">
        <f>COUNTIFS('Kal Unter Fer Hort mit TH'!J22:M102,$G$12)</f>
        <v>22</v>
      </c>
      <c r="M12" s="16" t="str">
        <f>IF(N13&gt;0,"für die Objektart prüfen.","")</f>
        <v/>
      </c>
      <c r="U12" s="78" t="s">
        <v>313</v>
      </c>
      <c r="V12" s="16">
        <v>450</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78" t="s">
        <v>315</v>
      </c>
      <c r="H13" s="91"/>
      <c r="I13" s="79">
        <f ca="1">SUMIF('Kal Unter Fer Hort mit TH'!J22:M102,$G$13,'Kal Unter Fer Hort mit TH'!M22:M102)</f>
        <v>661.94</v>
      </c>
      <c r="J13" s="23">
        <f>COUNTIFS('Kal Unter Fer Hort mit TH'!J22:M102,$G$13)</f>
        <v>1</v>
      </c>
      <c r="N13" s="82">
        <f>COUNTIF(V22:V$102,1)</f>
        <v>0</v>
      </c>
      <c r="O13" s="16" t="str">
        <f>IF(N13&gt;0,"Wert(e) überschritten, bitte mit dem Angebot plausibel darlegen.","")</f>
        <v/>
      </c>
      <c r="U13" s="78" t="s">
        <v>315</v>
      </c>
      <c r="V13" s="16">
        <v>115</v>
      </c>
    </row>
    <row r="14" spans="1:22" ht="15" customHeight="1" x14ac:dyDescent="0.2">
      <c r="N14" s="83">
        <f>COUNTIF(V22:V$102,0)</f>
        <v>81</v>
      </c>
      <c r="O14" s="16" t="str">
        <f>IF(N14&gt;0,"Wert(e) korrekt","")</f>
        <v>Wert(e) korrekt</v>
      </c>
      <c r="T14" s="84">
        <f>IF(COUNTA($T$22:$T$102)-COUNTBLANK($T$22:$T$102)=0,"",COUNTA($T$22:$T$102)-COUNTBLANK($T$22:$T$102))</f>
        <v>81</v>
      </c>
    </row>
    <row r="15" spans="1:22" ht="15" hidden="1" customHeight="1" x14ac:dyDescent="0.2"/>
    <row r="16" spans="1:22" ht="15" hidden="1" customHeight="1" x14ac:dyDescent="0.2"/>
    <row r="17" spans="1:22" ht="15" hidden="1" customHeight="1" x14ac:dyDescent="0.2"/>
    <row r="18" spans="1:22" ht="15" hidden="1" customHeight="1" x14ac:dyDescent="0.2"/>
    <row r="19" spans="1:22" ht="15" hidden="1" customHeight="1" x14ac:dyDescent="0.2"/>
    <row r="20" spans="1:22" ht="45" customHeight="1" x14ac:dyDescent="0.2">
      <c r="A20" s="33" t="s">
        <v>92</v>
      </c>
      <c r="B20" s="33" t="s">
        <v>97</v>
      </c>
      <c r="C20" s="33" t="s">
        <v>93</v>
      </c>
      <c r="D20" s="33" t="s">
        <v>94</v>
      </c>
      <c r="E20" s="33" t="s">
        <v>98</v>
      </c>
      <c r="F20" s="33" t="s">
        <v>95</v>
      </c>
      <c r="G20" s="33" t="s">
        <v>117</v>
      </c>
      <c r="H20" s="33" t="s">
        <v>107</v>
      </c>
      <c r="I20" s="33" t="s">
        <v>108</v>
      </c>
      <c r="J20" s="33" t="s">
        <v>99</v>
      </c>
      <c r="K20" s="33" t="s">
        <v>105</v>
      </c>
      <c r="L20" s="33" t="s">
        <v>136</v>
      </c>
      <c r="M20" s="33" t="s">
        <v>110</v>
      </c>
      <c r="N20" s="33" t="s">
        <v>106</v>
      </c>
      <c r="O20" s="33" t="s">
        <v>111</v>
      </c>
      <c r="P20" s="33" t="s">
        <v>112</v>
      </c>
      <c r="Q20" s="33" t="s">
        <v>113</v>
      </c>
      <c r="R20" s="33" t="s">
        <v>196</v>
      </c>
      <c r="S20" s="33" t="s">
        <v>135</v>
      </c>
    </row>
    <row r="21" spans="1:22" ht="29.1" customHeight="1" x14ac:dyDescent="0.2">
      <c r="A21" s="85" t="s">
        <v>120</v>
      </c>
      <c r="B21" s="60"/>
      <c r="C21" s="60"/>
      <c r="D21" s="60"/>
      <c r="E21" s="60"/>
      <c r="F21" s="60"/>
      <c r="G21" s="86">
        <f>SUM($G$22:$G$102)</f>
        <v>1989.1699999999992</v>
      </c>
      <c r="H21" s="86">
        <f>SUM($H$22:$H$102)</f>
        <v>0</v>
      </c>
      <c r="I21" s="86">
        <f>SUM($I$22:$I$102)</f>
        <v>0</v>
      </c>
      <c r="J21" s="38"/>
      <c r="K21" s="38"/>
      <c r="L21" s="87">
        <f>MAX(L22:L102)</f>
        <v>57.66</v>
      </c>
      <c r="M21" s="86">
        <f>SUM($M$22:$M$102)</f>
        <v>94389.77</v>
      </c>
      <c r="N21" s="38"/>
      <c r="O21" s="38"/>
      <c r="P21" s="86">
        <f>SUM($P$22:$P$102)</f>
        <v>0</v>
      </c>
      <c r="Q21" s="86">
        <f ca="1">SUM($Q$22:$Q$102)</f>
        <v>0</v>
      </c>
      <c r="R21" s="86">
        <f>ROUND(IF(L21=0,0,P21/L21),2)</f>
        <v>0</v>
      </c>
      <c r="S21" s="86">
        <f ca="1">ROUND(IF(L21=0,0,Q21/L21),2)</f>
        <v>0</v>
      </c>
    </row>
    <row r="22" spans="1:22" ht="15" customHeight="1" x14ac:dyDescent="0.2">
      <c r="A22" s="78">
        <v>1</v>
      </c>
      <c r="B22" s="95">
        <v>3</v>
      </c>
      <c r="C22" s="89" t="s">
        <v>318</v>
      </c>
      <c r="D22" s="89" t="s">
        <v>319</v>
      </c>
      <c r="E22" s="89" t="s">
        <v>322</v>
      </c>
      <c r="F22" s="89" t="s">
        <v>227</v>
      </c>
      <c r="G22" s="90">
        <v>4.71</v>
      </c>
      <c r="H22" s="90"/>
      <c r="I22" s="90"/>
      <c r="J22" s="78" t="s">
        <v>312</v>
      </c>
      <c r="K22" s="90">
        <v>1</v>
      </c>
      <c r="L22" s="38">
        <f>VLOOKUP(K22,Reinigungstage!A10:I31,9,FALSE)</f>
        <v>11.98</v>
      </c>
      <c r="M22" s="38">
        <f t="shared" ref="M22:M43" si="0">ROUND(IF(L22=0,0,L22*G22),2)</f>
        <v>56.43</v>
      </c>
      <c r="N22" s="92">
        <f t="shared" ref="N22:N43" si="1">VLOOKUP(J22,$G$4:$H$13,2,FALSE)</f>
        <v>0</v>
      </c>
      <c r="O22" s="38">
        <f ca="1">IF('SVS UnterhaltsRG'!H61="",0,'SVS UnterhaltsRG'!H61)</f>
        <v>0</v>
      </c>
      <c r="P22" s="38">
        <f t="shared" ref="P22:P43" si="2">ROUND(IF(N22=0,0,M22/N22),2)</f>
        <v>0</v>
      </c>
      <c r="Q22" s="38">
        <f t="shared" ref="Q22:Q43" ca="1" si="3">IF(M22=0,0,IF(O22="",0,ROUND(P22*O22,2)))</f>
        <v>0</v>
      </c>
      <c r="R22" s="38">
        <f t="shared" ref="R22:R43" si="4">ROUND(IF(P22=0,0,P22/L22),2)</f>
        <v>0</v>
      </c>
      <c r="S22" s="38">
        <f t="shared" ref="S22:S43" ca="1" si="5">ROUND(IF(Q22=0,0,Q22/L22),2)</f>
        <v>0</v>
      </c>
      <c r="T22" s="16" t="str">
        <f t="shared" ref="T22:T43" si="6">IF(M22=0,"",IF(N22=0,"Leistungswert eintragen",IF(O22=0,"SVS prüfen","")))</f>
        <v>Leistungswert eintragen</v>
      </c>
      <c r="U22" s="16">
        <f t="shared" ref="U22:U43" si="7">VLOOKUP(J22,$U$4:$V$13,2,FALSE)</f>
        <v>75</v>
      </c>
      <c r="V22" s="16">
        <f t="shared" ref="V22:V43" si="8">IF(M22=0,0,IF(U22&lt;N22,1,IF(U22&gt;=N22,0,"")))</f>
        <v>0</v>
      </c>
    </row>
    <row r="23" spans="1:22" ht="15" customHeight="1" x14ac:dyDescent="0.2">
      <c r="A23" s="78">
        <v>2</v>
      </c>
      <c r="B23" s="95">
        <v>4</v>
      </c>
      <c r="C23" s="89" t="s">
        <v>318</v>
      </c>
      <c r="D23" s="89" t="s">
        <v>319</v>
      </c>
      <c r="E23" s="89" t="s">
        <v>323</v>
      </c>
      <c r="F23" s="89" t="s">
        <v>227</v>
      </c>
      <c r="G23" s="90">
        <v>13.09</v>
      </c>
      <c r="H23" s="90"/>
      <c r="I23" s="90"/>
      <c r="J23" s="78" t="s">
        <v>316</v>
      </c>
      <c r="K23" s="90">
        <v>1</v>
      </c>
      <c r="L23" s="38">
        <f>VLOOKUP(K23,Reinigungstage!A10:I31,9,FALSE)</f>
        <v>11.98</v>
      </c>
      <c r="M23" s="38">
        <f t="shared" si="0"/>
        <v>156.82</v>
      </c>
      <c r="N23" s="92">
        <f t="shared" si="1"/>
        <v>0</v>
      </c>
      <c r="O23" s="38">
        <f ca="1">IF('SVS UnterhaltsRG'!H61="",0,'SVS UnterhaltsRG'!H61)</f>
        <v>0</v>
      </c>
      <c r="P23" s="38">
        <f t="shared" si="2"/>
        <v>0</v>
      </c>
      <c r="Q23" s="38">
        <f t="shared" ca="1" si="3"/>
        <v>0</v>
      </c>
      <c r="R23" s="38">
        <f t="shared" si="4"/>
        <v>0</v>
      </c>
      <c r="S23" s="38">
        <f t="shared" ca="1" si="5"/>
        <v>0</v>
      </c>
      <c r="T23" s="16" t="str">
        <f t="shared" si="6"/>
        <v>Leistungswert eintragen</v>
      </c>
      <c r="U23" s="16">
        <f t="shared" si="7"/>
        <v>220</v>
      </c>
      <c r="V23" s="16">
        <f t="shared" si="8"/>
        <v>0</v>
      </c>
    </row>
    <row r="24" spans="1:22" ht="15" customHeight="1" x14ac:dyDescent="0.2">
      <c r="A24" s="78">
        <v>3</v>
      </c>
      <c r="B24" s="95">
        <v>5</v>
      </c>
      <c r="C24" s="89" t="s">
        <v>318</v>
      </c>
      <c r="D24" s="89" t="s">
        <v>319</v>
      </c>
      <c r="E24" s="89" t="s">
        <v>324</v>
      </c>
      <c r="F24" s="89" t="s">
        <v>227</v>
      </c>
      <c r="G24" s="90">
        <v>21.86</v>
      </c>
      <c r="H24" s="90"/>
      <c r="I24" s="90"/>
      <c r="J24" s="78" t="s">
        <v>316</v>
      </c>
      <c r="K24" s="90">
        <v>3</v>
      </c>
      <c r="L24" s="38">
        <f>VLOOKUP(K24,Reinigungstage!A10:I31,9,FALSE)</f>
        <v>34.6</v>
      </c>
      <c r="M24" s="38">
        <f t="shared" si="0"/>
        <v>756.36</v>
      </c>
      <c r="N24" s="92">
        <f t="shared" si="1"/>
        <v>0</v>
      </c>
      <c r="O24" s="38">
        <f ca="1">IF('SVS UnterhaltsRG'!H61="",0,'SVS UnterhaltsRG'!H61)</f>
        <v>0</v>
      </c>
      <c r="P24" s="38">
        <f t="shared" si="2"/>
        <v>0</v>
      </c>
      <c r="Q24" s="38">
        <f t="shared" ca="1" si="3"/>
        <v>0</v>
      </c>
      <c r="R24" s="38">
        <f t="shared" si="4"/>
        <v>0</v>
      </c>
      <c r="S24" s="38">
        <f t="shared" ca="1" si="5"/>
        <v>0</v>
      </c>
      <c r="T24" s="16" t="str">
        <f t="shared" si="6"/>
        <v>Leistungswert eintragen</v>
      </c>
      <c r="U24" s="16">
        <f t="shared" si="7"/>
        <v>220</v>
      </c>
      <c r="V24" s="16">
        <f t="shared" si="8"/>
        <v>0</v>
      </c>
    </row>
    <row r="25" spans="1:22" ht="15" customHeight="1" x14ac:dyDescent="0.2">
      <c r="A25" s="78">
        <v>4</v>
      </c>
      <c r="B25" s="95">
        <v>6</v>
      </c>
      <c r="C25" s="89" t="s">
        <v>318</v>
      </c>
      <c r="D25" s="89" t="s">
        <v>319</v>
      </c>
      <c r="E25" s="89" t="s">
        <v>325</v>
      </c>
      <c r="F25" s="89" t="s">
        <v>227</v>
      </c>
      <c r="G25" s="90">
        <v>16.329999999999998</v>
      </c>
      <c r="H25" s="90"/>
      <c r="I25" s="90"/>
      <c r="J25" s="78" t="s">
        <v>312</v>
      </c>
      <c r="K25" s="90">
        <v>3</v>
      </c>
      <c r="L25" s="38">
        <f>VLOOKUP(K25,Reinigungstage!A10:I31,9,FALSE)</f>
        <v>34.6</v>
      </c>
      <c r="M25" s="38">
        <f t="shared" si="0"/>
        <v>565.02</v>
      </c>
      <c r="N25" s="92">
        <f t="shared" si="1"/>
        <v>0</v>
      </c>
      <c r="O25" s="38">
        <f ca="1">IF('SVS UnterhaltsRG'!H61="",0,'SVS UnterhaltsRG'!H61)</f>
        <v>0</v>
      </c>
      <c r="P25" s="38">
        <f t="shared" si="2"/>
        <v>0</v>
      </c>
      <c r="Q25" s="38">
        <f t="shared" ca="1" si="3"/>
        <v>0</v>
      </c>
      <c r="R25" s="38">
        <f t="shared" si="4"/>
        <v>0</v>
      </c>
      <c r="S25" s="38">
        <f t="shared" ca="1" si="5"/>
        <v>0</v>
      </c>
      <c r="T25" s="16" t="str">
        <f t="shared" si="6"/>
        <v>Leistungswert eintragen</v>
      </c>
      <c r="U25" s="16">
        <f t="shared" si="7"/>
        <v>75</v>
      </c>
      <c r="V25" s="16">
        <f t="shared" si="8"/>
        <v>0</v>
      </c>
    </row>
    <row r="26" spans="1:22" ht="15" customHeight="1" x14ac:dyDescent="0.2">
      <c r="A26" s="78">
        <v>5</v>
      </c>
      <c r="B26" s="95">
        <v>7</v>
      </c>
      <c r="C26" s="89" t="s">
        <v>318</v>
      </c>
      <c r="D26" s="89" t="s">
        <v>319</v>
      </c>
      <c r="E26" s="89" t="s">
        <v>325</v>
      </c>
      <c r="F26" s="89" t="s">
        <v>227</v>
      </c>
      <c r="G26" s="90">
        <v>15.84</v>
      </c>
      <c r="H26" s="90"/>
      <c r="I26" s="90"/>
      <c r="J26" s="78" t="s">
        <v>312</v>
      </c>
      <c r="K26" s="90">
        <v>3</v>
      </c>
      <c r="L26" s="38">
        <f>VLOOKUP(K26,Reinigungstage!A10:I31,9,FALSE)</f>
        <v>34.6</v>
      </c>
      <c r="M26" s="38">
        <f t="shared" si="0"/>
        <v>548.05999999999995</v>
      </c>
      <c r="N26" s="92">
        <f t="shared" si="1"/>
        <v>0</v>
      </c>
      <c r="O26" s="38">
        <f ca="1">IF('SVS UnterhaltsRG'!H61="",0,'SVS UnterhaltsRG'!H61)</f>
        <v>0</v>
      </c>
      <c r="P26" s="38">
        <f t="shared" si="2"/>
        <v>0</v>
      </c>
      <c r="Q26" s="38">
        <f t="shared" ca="1" si="3"/>
        <v>0</v>
      </c>
      <c r="R26" s="38">
        <f t="shared" si="4"/>
        <v>0</v>
      </c>
      <c r="S26" s="38">
        <f t="shared" ca="1" si="5"/>
        <v>0</v>
      </c>
      <c r="T26" s="16" t="str">
        <f t="shared" si="6"/>
        <v>Leistungswert eintragen</v>
      </c>
      <c r="U26" s="16">
        <f t="shared" si="7"/>
        <v>75</v>
      </c>
      <c r="V26" s="16">
        <f t="shared" si="8"/>
        <v>0</v>
      </c>
    </row>
    <row r="27" spans="1:22" ht="15" customHeight="1" x14ac:dyDescent="0.2">
      <c r="A27" s="78">
        <v>6</v>
      </c>
      <c r="B27" s="95">
        <v>8</v>
      </c>
      <c r="C27" s="89" t="s">
        <v>318</v>
      </c>
      <c r="D27" s="89" t="s">
        <v>319</v>
      </c>
      <c r="E27" s="89" t="s">
        <v>324</v>
      </c>
      <c r="F27" s="89" t="s">
        <v>227</v>
      </c>
      <c r="G27" s="90">
        <v>22.35</v>
      </c>
      <c r="H27" s="90"/>
      <c r="I27" s="90"/>
      <c r="J27" s="78" t="s">
        <v>316</v>
      </c>
      <c r="K27" s="90">
        <v>3</v>
      </c>
      <c r="L27" s="38">
        <f>VLOOKUP(K27,Reinigungstage!A10:I31,9,FALSE)</f>
        <v>34.6</v>
      </c>
      <c r="M27" s="38">
        <f t="shared" si="0"/>
        <v>773.31</v>
      </c>
      <c r="N27" s="92">
        <f t="shared" si="1"/>
        <v>0</v>
      </c>
      <c r="O27" s="38">
        <f ca="1">IF('SVS UnterhaltsRG'!H61="",0,'SVS UnterhaltsRG'!H61)</f>
        <v>0</v>
      </c>
      <c r="P27" s="38">
        <f t="shared" si="2"/>
        <v>0</v>
      </c>
      <c r="Q27" s="38">
        <f t="shared" ca="1" si="3"/>
        <v>0</v>
      </c>
      <c r="R27" s="38">
        <f t="shared" si="4"/>
        <v>0</v>
      </c>
      <c r="S27" s="38">
        <f t="shared" ca="1" si="5"/>
        <v>0</v>
      </c>
      <c r="T27" s="16" t="str">
        <f t="shared" si="6"/>
        <v>Leistungswert eintragen</v>
      </c>
      <c r="U27" s="16">
        <f t="shared" si="7"/>
        <v>220</v>
      </c>
      <c r="V27" s="16">
        <f t="shared" si="8"/>
        <v>0</v>
      </c>
    </row>
    <row r="28" spans="1:22" ht="15" customHeight="1" x14ac:dyDescent="0.2">
      <c r="A28" s="78">
        <v>7</v>
      </c>
      <c r="B28" s="95">
        <v>12</v>
      </c>
      <c r="C28" s="89" t="s">
        <v>318</v>
      </c>
      <c r="D28" s="89" t="s">
        <v>319</v>
      </c>
      <c r="E28" s="89" t="s">
        <v>320</v>
      </c>
      <c r="F28" s="89" t="s">
        <v>227</v>
      </c>
      <c r="G28" s="90">
        <v>14.21</v>
      </c>
      <c r="H28" s="90"/>
      <c r="I28" s="90"/>
      <c r="J28" s="78" t="s">
        <v>307</v>
      </c>
      <c r="K28" s="90">
        <v>5</v>
      </c>
      <c r="L28" s="38">
        <f>VLOOKUP(K28,Reinigungstage!A10:I31,9,FALSE)</f>
        <v>57.66</v>
      </c>
      <c r="M28" s="38">
        <f t="shared" si="0"/>
        <v>819.35</v>
      </c>
      <c r="N28" s="92">
        <f t="shared" si="1"/>
        <v>0</v>
      </c>
      <c r="O28" s="38">
        <f ca="1">IF('SVS UnterhaltsRG'!H61="",0,'SVS UnterhaltsRG'!H61)</f>
        <v>0</v>
      </c>
      <c r="P28" s="38">
        <f t="shared" si="2"/>
        <v>0</v>
      </c>
      <c r="Q28" s="38">
        <f t="shared" ca="1" si="3"/>
        <v>0</v>
      </c>
      <c r="R28" s="38">
        <f t="shared" si="4"/>
        <v>0</v>
      </c>
      <c r="S28" s="38">
        <f t="shared" ca="1" si="5"/>
        <v>0</v>
      </c>
      <c r="T28" s="16" t="str">
        <f t="shared" si="6"/>
        <v>Leistungswert eintragen</v>
      </c>
      <c r="U28" s="16">
        <f t="shared" si="7"/>
        <v>165</v>
      </c>
      <c r="V28" s="16">
        <f t="shared" si="8"/>
        <v>0</v>
      </c>
    </row>
    <row r="29" spans="1:22" ht="15" customHeight="1" x14ac:dyDescent="0.2">
      <c r="A29" s="78">
        <v>8</v>
      </c>
      <c r="B29" s="95">
        <v>13</v>
      </c>
      <c r="C29" s="89" t="s">
        <v>318</v>
      </c>
      <c r="D29" s="89" t="s">
        <v>319</v>
      </c>
      <c r="E29" s="89" t="s">
        <v>321</v>
      </c>
      <c r="F29" s="89" t="s">
        <v>227</v>
      </c>
      <c r="G29" s="90">
        <v>23.63</v>
      </c>
      <c r="H29" s="90"/>
      <c r="I29" s="90"/>
      <c r="J29" s="78" t="s">
        <v>313</v>
      </c>
      <c r="K29" s="90">
        <v>5</v>
      </c>
      <c r="L29" s="38">
        <f>VLOOKUP(K29,Reinigungstage!A10:I31,9,FALSE)</f>
        <v>57.66</v>
      </c>
      <c r="M29" s="38">
        <f t="shared" si="0"/>
        <v>1362.51</v>
      </c>
      <c r="N29" s="92">
        <f t="shared" si="1"/>
        <v>0</v>
      </c>
      <c r="O29" s="38">
        <f ca="1">IF('SVS UnterhaltsRG'!H61="",0,'SVS UnterhaltsRG'!H61)</f>
        <v>0</v>
      </c>
      <c r="P29" s="38">
        <f t="shared" si="2"/>
        <v>0</v>
      </c>
      <c r="Q29" s="38">
        <f t="shared" ca="1" si="3"/>
        <v>0</v>
      </c>
      <c r="R29" s="38">
        <f t="shared" si="4"/>
        <v>0</v>
      </c>
      <c r="S29" s="38">
        <f t="shared" ca="1" si="5"/>
        <v>0</v>
      </c>
      <c r="T29" s="16" t="str">
        <f t="shared" si="6"/>
        <v>Leistungswert eintragen</v>
      </c>
      <c r="U29" s="16">
        <f t="shared" si="7"/>
        <v>450</v>
      </c>
      <c r="V29" s="16">
        <f t="shared" si="8"/>
        <v>0</v>
      </c>
    </row>
    <row r="30" spans="1:22" ht="15" customHeight="1" x14ac:dyDescent="0.2">
      <c r="A30" s="78">
        <v>9</v>
      </c>
      <c r="B30" s="95">
        <v>16</v>
      </c>
      <c r="C30" s="89" t="s">
        <v>318</v>
      </c>
      <c r="D30" s="89" t="s">
        <v>319</v>
      </c>
      <c r="E30" s="89" t="s">
        <v>333</v>
      </c>
      <c r="F30" s="89" t="s">
        <v>227</v>
      </c>
      <c r="G30" s="90">
        <v>9.1</v>
      </c>
      <c r="H30" s="90"/>
      <c r="I30" s="90"/>
      <c r="J30" s="78" t="s">
        <v>316</v>
      </c>
      <c r="K30" s="90">
        <v>1</v>
      </c>
      <c r="L30" s="38">
        <f>VLOOKUP(K30,Reinigungstage!A10:I31,9,FALSE)</f>
        <v>11.98</v>
      </c>
      <c r="M30" s="38">
        <f t="shared" si="0"/>
        <v>109.02</v>
      </c>
      <c r="N30" s="92">
        <f t="shared" si="1"/>
        <v>0</v>
      </c>
      <c r="O30" s="38">
        <f ca="1">IF('SVS UnterhaltsRG'!H61="",0,'SVS UnterhaltsRG'!H61)</f>
        <v>0</v>
      </c>
      <c r="P30" s="38">
        <f t="shared" si="2"/>
        <v>0</v>
      </c>
      <c r="Q30" s="38">
        <f t="shared" ca="1" si="3"/>
        <v>0</v>
      </c>
      <c r="R30" s="38">
        <f t="shared" si="4"/>
        <v>0</v>
      </c>
      <c r="S30" s="38">
        <f t="shared" ca="1" si="5"/>
        <v>0</v>
      </c>
      <c r="T30" s="16" t="str">
        <f t="shared" si="6"/>
        <v>Leistungswert eintragen</v>
      </c>
      <c r="U30" s="16">
        <f t="shared" si="7"/>
        <v>220</v>
      </c>
      <c r="V30" s="16">
        <f t="shared" si="8"/>
        <v>0</v>
      </c>
    </row>
    <row r="31" spans="1:22" ht="15" customHeight="1" x14ac:dyDescent="0.2">
      <c r="A31" s="78">
        <v>10</v>
      </c>
      <c r="B31" s="95">
        <v>17</v>
      </c>
      <c r="C31" s="89" t="s">
        <v>318</v>
      </c>
      <c r="D31" s="89" t="s">
        <v>319</v>
      </c>
      <c r="E31" s="89" t="s">
        <v>334</v>
      </c>
      <c r="F31" s="89" t="s">
        <v>227</v>
      </c>
      <c r="G31" s="90">
        <v>5.0199999999999996</v>
      </c>
      <c r="H31" s="90"/>
      <c r="I31" s="90"/>
      <c r="J31" s="78" t="s">
        <v>312</v>
      </c>
      <c r="K31" s="90">
        <v>3</v>
      </c>
      <c r="L31" s="38">
        <f>VLOOKUP(K31,Reinigungstage!A10:I31,9,FALSE)</f>
        <v>34.6</v>
      </c>
      <c r="M31" s="38">
        <f t="shared" si="0"/>
        <v>173.69</v>
      </c>
      <c r="N31" s="92">
        <f t="shared" si="1"/>
        <v>0</v>
      </c>
      <c r="O31" s="38">
        <f ca="1">IF('SVS UnterhaltsRG'!H61="",0,'SVS UnterhaltsRG'!H61)</f>
        <v>0</v>
      </c>
      <c r="P31" s="38">
        <f t="shared" si="2"/>
        <v>0</v>
      </c>
      <c r="Q31" s="38">
        <f t="shared" ca="1" si="3"/>
        <v>0</v>
      </c>
      <c r="R31" s="38">
        <f t="shared" si="4"/>
        <v>0</v>
      </c>
      <c r="S31" s="38">
        <f t="shared" ca="1" si="5"/>
        <v>0</v>
      </c>
      <c r="T31" s="16" t="str">
        <f t="shared" si="6"/>
        <v>Leistungswert eintragen</v>
      </c>
      <c r="U31" s="16">
        <f t="shared" si="7"/>
        <v>75</v>
      </c>
      <c r="V31" s="16">
        <f t="shared" si="8"/>
        <v>0</v>
      </c>
    </row>
    <row r="32" spans="1:22" ht="15" customHeight="1" x14ac:dyDescent="0.2">
      <c r="A32" s="78">
        <v>11</v>
      </c>
      <c r="B32" s="95">
        <v>18</v>
      </c>
      <c r="C32" s="89" t="s">
        <v>318</v>
      </c>
      <c r="D32" s="89" t="s">
        <v>319</v>
      </c>
      <c r="E32" s="89" t="s">
        <v>237</v>
      </c>
      <c r="F32" s="89" t="s">
        <v>227</v>
      </c>
      <c r="G32" s="90">
        <v>9.6999999999999993</v>
      </c>
      <c r="H32" s="90"/>
      <c r="I32" s="90"/>
      <c r="J32" s="78" t="s">
        <v>312</v>
      </c>
      <c r="K32" s="90">
        <v>3</v>
      </c>
      <c r="L32" s="38">
        <f>VLOOKUP(K32,Reinigungstage!A10:I31,9,FALSE)</f>
        <v>34.6</v>
      </c>
      <c r="M32" s="38">
        <f t="shared" si="0"/>
        <v>335.62</v>
      </c>
      <c r="N32" s="92">
        <f t="shared" si="1"/>
        <v>0</v>
      </c>
      <c r="O32" s="38">
        <f ca="1">IF('SVS UnterhaltsRG'!H61="",0,'SVS UnterhaltsRG'!H61)</f>
        <v>0</v>
      </c>
      <c r="P32" s="38">
        <f t="shared" si="2"/>
        <v>0</v>
      </c>
      <c r="Q32" s="38">
        <f t="shared" ca="1" si="3"/>
        <v>0</v>
      </c>
      <c r="R32" s="38">
        <f t="shared" si="4"/>
        <v>0</v>
      </c>
      <c r="S32" s="38">
        <f t="shared" ca="1" si="5"/>
        <v>0</v>
      </c>
      <c r="T32" s="16" t="str">
        <f t="shared" si="6"/>
        <v>Leistungswert eintragen</v>
      </c>
      <c r="U32" s="16">
        <f t="shared" si="7"/>
        <v>75</v>
      </c>
      <c r="V32" s="16">
        <f t="shared" si="8"/>
        <v>0</v>
      </c>
    </row>
    <row r="33" spans="1:22" ht="15" customHeight="1" x14ac:dyDescent="0.2">
      <c r="A33" s="78">
        <v>12</v>
      </c>
      <c r="B33" s="95">
        <v>19</v>
      </c>
      <c r="C33" s="89" t="s">
        <v>318</v>
      </c>
      <c r="D33" s="89" t="s">
        <v>319</v>
      </c>
      <c r="E33" s="89" t="s">
        <v>335</v>
      </c>
      <c r="F33" s="89" t="s">
        <v>227</v>
      </c>
      <c r="G33" s="90">
        <v>5.61</v>
      </c>
      <c r="H33" s="90"/>
      <c r="I33" s="90"/>
      <c r="J33" s="78" t="s">
        <v>313</v>
      </c>
      <c r="K33" s="90">
        <v>3</v>
      </c>
      <c r="L33" s="38">
        <f>VLOOKUP(K33,Reinigungstage!A10:I31,9,FALSE)</f>
        <v>34.6</v>
      </c>
      <c r="M33" s="38">
        <f t="shared" si="0"/>
        <v>194.11</v>
      </c>
      <c r="N33" s="92">
        <f t="shared" si="1"/>
        <v>0</v>
      </c>
      <c r="O33" s="38">
        <f ca="1">IF('SVS UnterhaltsRG'!H61="",0,'SVS UnterhaltsRG'!H61)</f>
        <v>0</v>
      </c>
      <c r="P33" s="38">
        <f t="shared" si="2"/>
        <v>0</v>
      </c>
      <c r="Q33" s="38">
        <f t="shared" ca="1" si="3"/>
        <v>0</v>
      </c>
      <c r="R33" s="38">
        <f t="shared" si="4"/>
        <v>0</v>
      </c>
      <c r="S33" s="38">
        <f t="shared" ca="1" si="5"/>
        <v>0</v>
      </c>
      <c r="T33" s="16" t="str">
        <f t="shared" si="6"/>
        <v>Leistungswert eintragen</v>
      </c>
      <c r="U33" s="16">
        <f t="shared" si="7"/>
        <v>450</v>
      </c>
      <c r="V33" s="16">
        <f t="shared" si="8"/>
        <v>0</v>
      </c>
    </row>
    <row r="34" spans="1:22" ht="15" customHeight="1" x14ac:dyDescent="0.2">
      <c r="A34" s="78">
        <v>13</v>
      </c>
      <c r="B34" s="95">
        <v>20</v>
      </c>
      <c r="C34" s="89" t="s">
        <v>318</v>
      </c>
      <c r="D34" s="89" t="s">
        <v>319</v>
      </c>
      <c r="E34" s="89" t="s">
        <v>335</v>
      </c>
      <c r="F34" s="89" t="s">
        <v>227</v>
      </c>
      <c r="G34" s="90">
        <v>5.57</v>
      </c>
      <c r="H34" s="90"/>
      <c r="I34" s="90"/>
      <c r="J34" s="78" t="s">
        <v>313</v>
      </c>
      <c r="K34" s="90">
        <v>3</v>
      </c>
      <c r="L34" s="38">
        <f>VLOOKUP(K34,Reinigungstage!A10:I31,9,FALSE)</f>
        <v>34.6</v>
      </c>
      <c r="M34" s="38">
        <f t="shared" si="0"/>
        <v>192.72</v>
      </c>
      <c r="N34" s="92">
        <f t="shared" si="1"/>
        <v>0</v>
      </c>
      <c r="O34" s="38">
        <f ca="1">IF('SVS UnterhaltsRG'!H61="",0,'SVS UnterhaltsRG'!H61)</f>
        <v>0</v>
      </c>
      <c r="P34" s="38">
        <f t="shared" si="2"/>
        <v>0</v>
      </c>
      <c r="Q34" s="38">
        <f t="shared" ca="1" si="3"/>
        <v>0</v>
      </c>
      <c r="R34" s="38">
        <f t="shared" si="4"/>
        <v>0</v>
      </c>
      <c r="S34" s="38">
        <f t="shared" ca="1" si="5"/>
        <v>0</v>
      </c>
      <c r="T34" s="16" t="str">
        <f t="shared" si="6"/>
        <v>Leistungswert eintragen</v>
      </c>
      <c r="U34" s="16">
        <f t="shared" si="7"/>
        <v>450</v>
      </c>
      <c r="V34" s="16">
        <f t="shared" si="8"/>
        <v>0</v>
      </c>
    </row>
    <row r="35" spans="1:22" ht="15" customHeight="1" x14ac:dyDescent="0.2">
      <c r="A35" s="78">
        <v>14</v>
      </c>
      <c r="B35" s="95">
        <v>21</v>
      </c>
      <c r="C35" s="89" t="s">
        <v>318</v>
      </c>
      <c r="D35" s="89" t="s">
        <v>319</v>
      </c>
      <c r="E35" s="89" t="s">
        <v>335</v>
      </c>
      <c r="F35" s="89" t="s">
        <v>227</v>
      </c>
      <c r="G35" s="90">
        <v>7.78</v>
      </c>
      <c r="H35" s="90"/>
      <c r="I35" s="90"/>
      <c r="J35" s="78" t="s">
        <v>313</v>
      </c>
      <c r="K35" s="90">
        <v>3</v>
      </c>
      <c r="L35" s="38">
        <f>VLOOKUP(K35,Reinigungstage!A10:I31,9,FALSE)</f>
        <v>34.6</v>
      </c>
      <c r="M35" s="38">
        <f t="shared" si="0"/>
        <v>269.19</v>
      </c>
      <c r="N35" s="92">
        <f t="shared" si="1"/>
        <v>0</v>
      </c>
      <c r="O35" s="38">
        <f ca="1">IF('SVS UnterhaltsRG'!H61="",0,'SVS UnterhaltsRG'!H61)</f>
        <v>0</v>
      </c>
      <c r="P35" s="38">
        <f t="shared" si="2"/>
        <v>0</v>
      </c>
      <c r="Q35" s="38">
        <f t="shared" ca="1" si="3"/>
        <v>0</v>
      </c>
      <c r="R35" s="38">
        <f t="shared" si="4"/>
        <v>0</v>
      </c>
      <c r="S35" s="38">
        <f t="shared" ca="1" si="5"/>
        <v>0</v>
      </c>
      <c r="T35" s="16" t="str">
        <f t="shared" si="6"/>
        <v>Leistungswert eintragen</v>
      </c>
      <c r="U35" s="16">
        <f t="shared" si="7"/>
        <v>450</v>
      </c>
      <c r="V35" s="16">
        <f t="shared" si="8"/>
        <v>0</v>
      </c>
    </row>
    <row r="36" spans="1:22" ht="15" customHeight="1" x14ac:dyDescent="0.2">
      <c r="A36" s="78">
        <v>15</v>
      </c>
      <c r="B36" s="88">
        <v>101</v>
      </c>
      <c r="C36" s="89" t="s">
        <v>276</v>
      </c>
      <c r="D36" s="89" t="s">
        <v>319</v>
      </c>
      <c r="E36" s="89" t="s">
        <v>320</v>
      </c>
      <c r="F36" s="89" t="s">
        <v>227</v>
      </c>
      <c r="G36" s="90">
        <v>17.940000000000001</v>
      </c>
      <c r="H36" s="90"/>
      <c r="I36" s="90"/>
      <c r="J36" s="78" t="s">
        <v>307</v>
      </c>
      <c r="K36" s="90">
        <v>5</v>
      </c>
      <c r="L36" s="38">
        <f>VLOOKUP(K36,Reinigungstage!A10:I31,9,FALSE)</f>
        <v>57.66</v>
      </c>
      <c r="M36" s="38">
        <f t="shared" si="0"/>
        <v>1034.42</v>
      </c>
      <c r="N36" s="92">
        <f t="shared" si="1"/>
        <v>0</v>
      </c>
      <c r="O36" s="38">
        <f ca="1">IF('SVS UnterhaltsRG'!H61="",0,'SVS UnterhaltsRG'!H61)</f>
        <v>0</v>
      </c>
      <c r="P36" s="38">
        <f t="shared" si="2"/>
        <v>0</v>
      </c>
      <c r="Q36" s="38">
        <f t="shared" ca="1" si="3"/>
        <v>0</v>
      </c>
      <c r="R36" s="38">
        <f t="shared" si="4"/>
        <v>0</v>
      </c>
      <c r="S36" s="38">
        <f t="shared" ca="1" si="5"/>
        <v>0</v>
      </c>
      <c r="T36" s="16" t="str">
        <f t="shared" si="6"/>
        <v>Leistungswert eintragen</v>
      </c>
      <c r="U36" s="16">
        <f t="shared" si="7"/>
        <v>165</v>
      </c>
      <c r="V36" s="16">
        <f t="shared" si="8"/>
        <v>0</v>
      </c>
    </row>
    <row r="37" spans="1:22" ht="15" customHeight="1" x14ac:dyDescent="0.2">
      <c r="A37" s="78">
        <v>16</v>
      </c>
      <c r="B37" s="88">
        <v>102</v>
      </c>
      <c r="C37" s="89" t="s">
        <v>276</v>
      </c>
      <c r="D37" s="89" t="s">
        <v>319</v>
      </c>
      <c r="E37" s="89" t="s">
        <v>321</v>
      </c>
      <c r="F37" s="89" t="s">
        <v>227</v>
      </c>
      <c r="G37" s="90">
        <v>7.52</v>
      </c>
      <c r="H37" s="90"/>
      <c r="I37" s="90"/>
      <c r="J37" s="78" t="s">
        <v>313</v>
      </c>
      <c r="K37" s="90">
        <v>5</v>
      </c>
      <c r="L37" s="38">
        <f>VLOOKUP(K37,Reinigungstage!A10:I31,9,FALSE)</f>
        <v>57.66</v>
      </c>
      <c r="M37" s="38">
        <f t="shared" si="0"/>
        <v>433.6</v>
      </c>
      <c r="N37" s="92">
        <f t="shared" si="1"/>
        <v>0</v>
      </c>
      <c r="O37" s="38">
        <f ca="1">IF('SVS UnterhaltsRG'!H61="",0,'SVS UnterhaltsRG'!H61)</f>
        <v>0</v>
      </c>
      <c r="P37" s="38">
        <f t="shared" si="2"/>
        <v>0</v>
      </c>
      <c r="Q37" s="38">
        <f t="shared" ca="1" si="3"/>
        <v>0</v>
      </c>
      <c r="R37" s="38">
        <f t="shared" si="4"/>
        <v>0</v>
      </c>
      <c r="S37" s="38">
        <f t="shared" ca="1" si="5"/>
        <v>0</v>
      </c>
      <c r="T37" s="16" t="str">
        <f t="shared" si="6"/>
        <v>Leistungswert eintragen</v>
      </c>
      <c r="U37" s="16">
        <f t="shared" si="7"/>
        <v>450</v>
      </c>
      <c r="V37" s="16">
        <f t="shared" si="8"/>
        <v>0</v>
      </c>
    </row>
    <row r="38" spans="1:22" ht="15" customHeight="1" x14ac:dyDescent="0.2">
      <c r="A38" s="78">
        <v>17</v>
      </c>
      <c r="B38" s="88">
        <v>103</v>
      </c>
      <c r="C38" s="89" t="s">
        <v>276</v>
      </c>
      <c r="D38" s="89" t="s">
        <v>319</v>
      </c>
      <c r="E38" s="89" t="s">
        <v>321</v>
      </c>
      <c r="F38" s="89" t="s">
        <v>227</v>
      </c>
      <c r="G38" s="90">
        <v>7.83</v>
      </c>
      <c r="H38" s="90"/>
      <c r="I38" s="90"/>
      <c r="J38" s="78" t="s">
        <v>313</v>
      </c>
      <c r="K38" s="90">
        <v>5</v>
      </c>
      <c r="L38" s="38">
        <f>VLOOKUP(K38,Reinigungstage!A10:I31,9,FALSE)</f>
        <v>57.66</v>
      </c>
      <c r="M38" s="38">
        <f t="shared" si="0"/>
        <v>451.48</v>
      </c>
      <c r="N38" s="92">
        <f t="shared" si="1"/>
        <v>0</v>
      </c>
      <c r="O38" s="38">
        <f ca="1">IF('SVS UnterhaltsRG'!H61="",0,'SVS UnterhaltsRG'!H61)</f>
        <v>0</v>
      </c>
      <c r="P38" s="38">
        <f t="shared" si="2"/>
        <v>0</v>
      </c>
      <c r="Q38" s="38">
        <f t="shared" ca="1" si="3"/>
        <v>0</v>
      </c>
      <c r="R38" s="38">
        <f t="shared" si="4"/>
        <v>0</v>
      </c>
      <c r="S38" s="38">
        <f t="shared" ca="1" si="5"/>
        <v>0</v>
      </c>
      <c r="T38" s="16" t="str">
        <f t="shared" si="6"/>
        <v>Leistungswert eintragen</v>
      </c>
      <c r="U38" s="16">
        <f t="shared" si="7"/>
        <v>450</v>
      </c>
      <c r="V38" s="16">
        <f t="shared" si="8"/>
        <v>0</v>
      </c>
    </row>
    <row r="39" spans="1:22" ht="21" x14ac:dyDescent="0.2">
      <c r="A39" s="78">
        <v>18</v>
      </c>
      <c r="B39" s="88">
        <v>104</v>
      </c>
      <c r="C39" s="89" t="s">
        <v>276</v>
      </c>
      <c r="D39" s="89" t="s">
        <v>319</v>
      </c>
      <c r="E39" s="89" t="s">
        <v>338</v>
      </c>
      <c r="F39" s="89" t="s">
        <v>229</v>
      </c>
      <c r="G39" s="90">
        <v>62.93</v>
      </c>
      <c r="H39" s="90"/>
      <c r="I39" s="90"/>
      <c r="J39" s="78" t="s">
        <v>311</v>
      </c>
      <c r="K39" s="90">
        <v>5</v>
      </c>
      <c r="L39" s="38">
        <f>VLOOKUP(K39,Reinigungstage!A10:I31,9,FALSE)</f>
        <v>57.66</v>
      </c>
      <c r="M39" s="38">
        <f t="shared" si="0"/>
        <v>3628.54</v>
      </c>
      <c r="N39" s="92">
        <f t="shared" si="1"/>
        <v>0</v>
      </c>
      <c r="O39" s="38">
        <f ca="1">IF('SVS UnterhaltsRG'!H61="",0,'SVS UnterhaltsRG'!H61)</f>
        <v>0</v>
      </c>
      <c r="P39" s="38">
        <f t="shared" si="2"/>
        <v>0</v>
      </c>
      <c r="Q39" s="38">
        <f t="shared" ca="1" si="3"/>
        <v>0</v>
      </c>
      <c r="R39" s="38">
        <f t="shared" si="4"/>
        <v>0</v>
      </c>
      <c r="S39" s="38">
        <f t="shared" ca="1" si="5"/>
        <v>0</v>
      </c>
      <c r="T39" s="16" t="str">
        <f t="shared" si="6"/>
        <v>Leistungswert eintragen</v>
      </c>
      <c r="U39" s="16">
        <f t="shared" si="7"/>
        <v>170</v>
      </c>
      <c r="V39" s="16">
        <f t="shared" si="8"/>
        <v>0</v>
      </c>
    </row>
    <row r="40" spans="1:22" ht="21" x14ac:dyDescent="0.2">
      <c r="A40" s="78">
        <v>19</v>
      </c>
      <c r="B40" s="88">
        <v>105</v>
      </c>
      <c r="C40" s="89" t="s">
        <v>276</v>
      </c>
      <c r="D40" s="89" t="s">
        <v>319</v>
      </c>
      <c r="E40" s="89" t="s">
        <v>339</v>
      </c>
      <c r="F40" s="89" t="s">
        <v>229</v>
      </c>
      <c r="G40" s="90">
        <v>48.21</v>
      </c>
      <c r="H40" s="90"/>
      <c r="I40" s="90"/>
      <c r="J40" s="78" t="s">
        <v>311</v>
      </c>
      <c r="K40" s="90">
        <v>5</v>
      </c>
      <c r="L40" s="38">
        <f>VLOOKUP(K40,Reinigungstage!A10:I31,9,FALSE)</f>
        <v>57.66</v>
      </c>
      <c r="M40" s="38">
        <f t="shared" si="0"/>
        <v>2779.79</v>
      </c>
      <c r="N40" s="92">
        <f t="shared" si="1"/>
        <v>0</v>
      </c>
      <c r="O40" s="38">
        <f ca="1">IF('SVS UnterhaltsRG'!H61="",0,'SVS UnterhaltsRG'!H61)</f>
        <v>0</v>
      </c>
      <c r="P40" s="38">
        <f t="shared" si="2"/>
        <v>0</v>
      </c>
      <c r="Q40" s="38">
        <f t="shared" ca="1" si="3"/>
        <v>0</v>
      </c>
      <c r="R40" s="38">
        <f t="shared" si="4"/>
        <v>0</v>
      </c>
      <c r="S40" s="38">
        <f t="shared" ca="1" si="5"/>
        <v>0</v>
      </c>
      <c r="T40" s="16" t="str">
        <f t="shared" si="6"/>
        <v>Leistungswert eintragen</v>
      </c>
      <c r="U40" s="16">
        <f t="shared" si="7"/>
        <v>170</v>
      </c>
      <c r="V40" s="16">
        <f t="shared" si="8"/>
        <v>0</v>
      </c>
    </row>
    <row r="41" spans="1:22" ht="15" customHeight="1" x14ac:dyDescent="0.2">
      <c r="A41" s="78">
        <v>20</v>
      </c>
      <c r="B41" s="88">
        <v>106</v>
      </c>
      <c r="C41" s="89" t="s">
        <v>276</v>
      </c>
      <c r="D41" s="89" t="s">
        <v>319</v>
      </c>
      <c r="E41" s="89" t="s">
        <v>340</v>
      </c>
      <c r="F41" s="89" t="s">
        <v>227</v>
      </c>
      <c r="G41" s="90">
        <v>48.84</v>
      </c>
      <c r="H41" s="90"/>
      <c r="I41" s="90"/>
      <c r="J41" s="78" t="s">
        <v>311</v>
      </c>
      <c r="K41" s="90">
        <v>5</v>
      </c>
      <c r="L41" s="38">
        <f>VLOOKUP(K41,Reinigungstage!A10:I31,9,FALSE)</f>
        <v>57.66</v>
      </c>
      <c r="M41" s="38">
        <f t="shared" si="0"/>
        <v>2816.11</v>
      </c>
      <c r="N41" s="92">
        <f t="shared" si="1"/>
        <v>0</v>
      </c>
      <c r="O41" s="38">
        <f ca="1">IF('SVS UnterhaltsRG'!H61="",0,'SVS UnterhaltsRG'!H61)</f>
        <v>0</v>
      </c>
      <c r="P41" s="38">
        <f t="shared" si="2"/>
        <v>0</v>
      </c>
      <c r="Q41" s="38">
        <f t="shared" ca="1" si="3"/>
        <v>0</v>
      </c>
      <c r="R41" s="38">
        <f t="shared" si="4"/>
        <v>0</v>
      </c>
      <c r="S41" s="38">
        <f t="shared" ca="1" si="5"/>
        <v>0</v>
      </c>
      <c r="T41" s="16" t="str">
        <f t="shared" si="6"/>
        <v>Leistungswert eintragen</v>
      </c>
      <c r="U41" s="16">
        <f t="shared" si="7"/>
        <v>170</v>
      </c>
      <c r="V41" s="16">
        <f t="shared" si="8"/>
        <v>0</v>
      </c>
    </row>
    <row r="42" spans="1:22" ht="15" customHeight="1" x14ac:dyDescent="0.2">
      <c r="A42" s="78">
        <v>21</v>
      </c>
      <c r="B42" s="88">
        <v>107</v>
      </c>
      <c r="C42" s="89" t="s">
        <v>276</v>
      </c>
      <c r="D42" s="89" t="s">
        <v>319</v>
      </c>
      <c r="E42" s="89" t="s">
        <v>341</v>
      </c>
      <c r="F42" s="89" t="s">
        <v>229</v>
      </c>
      <c r="G42" s="90">
        <v>18.27</v>
      </c>
      <c r="H42" s="90"/>
      <c r="I42" s="90"/>
      <c r="J42" s="78" t="s">
        <v>313</v>
      </c>
      <c r="K42" s="90">
        <v>5</v>
      </c>
      <c r="L42" s="38">
        <f>VLOOKUP(K42,Reinigungstage!A10:I31,9,FALSE)</f>
        <v>57.66</v>
      </c>
      <c r="M42" s="38">
        <f t="shared" si="0"/>
        <v>1053.45</v>
      </c>
      <c r="N42" s="92">
        <f t="shared" si="1"/>
        <v>0</v>
      </c>
      <c r="O42" s="38">
        <f ca="1">IF('SVS UnterhaltsRG'!H61="",0,'SVS UnterhaltsRG'!H61)</f>
        <v>0</v>
      </c>
      <c r="P42" s="38">
        <f t="shared" si="2"/>
        <v>0</v>
      </c>
      <c r="Q42" s="38">
        <f t="shared" ca="1" si="3"/>
        <v>0</v>
      </c>
      <c r="R42" s="38">
        <f t="shared" si="4"/>
        <v>0</v>
      </c>
      <c r="S42" s="38">
        <f t="shared" ca="1" si="5"/>
        <v>0</v>
      </c>
      <c r="T42" s="16" t="str">
        <f t="shared" si="6"/>
        <v>Leistungswert eintragen</v>
      </c>
      <c r="U42" s="16">
        <f t="shared" si="7"/>
        <v>450</v>
      </c>
      <c r="V42" s="16">
        <f t="shared" si="8"/>
        <v>0</v>
      </c>
    </row>
    <row r="43" spans="1:22" ht="15" customHeight="1" x14ac:dyDescent="0.2">
      <c r="A43" s="78">
        <v>22</v>
      </c>
      <c r="B43" s="88">
        <v>108</v>
      </c>
      <c r="C43" s="89" t="s">
        <v>276</v>
      </c>
      <c r="D43" s="89" t="s">
        <v>319</v>
      </c>
      <c r="E43" s="89" t="s">
        <v>342</v>
      </c>
      <c r="F43" s="89" t="s">
        <v>229</v>
      </c>
      <c r="G43" s="90">
        <v>13.62</v>
      </c>
      <c r="H43" s="90"/>
      <c r="I43" s="90"/>
      <c r="J43" s="78" t="s">
        <v>309</v>
      </c>
      <c r="K43" s="90">
        <v>1</v>
      </c>
      <c r="L43" s="38">
        <f>VLOOKUP(K43,Reinigungstage!A10:I31,9,FALSE)</f>
        <v>11.98</v>
      </c>
      <c r="M43" s="38">
        <f t="shared" si="0"/>
        <v>163.16999999999999</v>
      </c>
      <c r="N43" s="92">
        <f t="shared" si="1"/>
        <v>0</v>
      </c>
      <c r="O43" s="38">
        <f ca="1">IF('SVS UnterhaltsRG'!H61="",0,'SVS UnterhaltsRG'!H61)</f>
        <v>0</v>
      </c>
      <c r="P43" s="38">
        <f t="shared" si="2"/>
        <v>0</v>
      </c>
      <c r="Q43" s="38">
        <f t="shared" ca="1" si="3"/>
        <v>0</v>
      </c>
      <c r="R43" s="38">
        <f t="shared" si="4"/>
        <v>0</v>
      </c>
      <c r="S43" s="38">
        <f t="shared" ca="1" si="5"/>
        <v>0</v>
      </c>
      <c r="T43" s="16" t="str">
        <f t="shared" si="6"/>
        <v>Leistungswert eintragen</v>
      </c>
      <c r="U43" s="16">
        <f t="shared" si="7"/>
        <v>215</v>
      </c>
      <c r="V43" s="16">
        <f t="shared" si="8"/>
        <v>0</v>
      </c>
    </row>
    <row r="44" spans="1:22" ht="15" customHeight="1" x14ac:dyDescent="0.2">
      <c r="A44" s="78">
        <v>23</v>
      </c>
      <c r="B44" s="88">
        <v>109</v>
      </c>
      <c r="C44" s="89" t="s">
        <v>276</v>
      </c>
      <c r="D44" s="89" t="s">
        <v>319</v>
      </c>
      <c r="E44" s="89" t="s">
        <v>320</v>
      </c>
      <c r="F44" s="89" t="s">
        <v>227</v>
      </c>
      <c r="G44" s="90">
        <v>14.21</v>
      </c>
      <c r="H44" s="90"/>
      <c r="I44" s="90"/>
      <c r="J44" s="78" t="s">
        <v>307</v>
      </c>
      <c r="K44" s="90">
        <v>1</v>
      </c>
      <c r="L44" s="38">
        <f>VLOOKUP(K44,Reinigungstage!A10:I31,9,FALSE)</f>
        <v>11.98</v>
      </c>
      <c r="M44" s="38">
        <f t="shared" ref="M44:M67" si="9">ROUND(IF(L44=0,0,L44*G44),2)</f>
        <v>170.24</v>
      </c>
      <c r="N44" s="92">
        <f t="shared" ref="N44:N67" si="10">VLOOKUP(J44,$G$4:$H$13,2,FALSE)</f>
        <v>0</v>
      </c>
      <c r="O44" s="38">
        <f ca="1">IF('SVS UnterhaltsRG'!H61="",0,'SVS UnterhaltsRG'!H61)</f>
        <v>0</v>
      </c>
      <c r="P44" s="38">
        <f t="shared" ref="P44:P67" si="11">ROUND(IF(N44=0,0,M44/N44),2)</f>
        <v>0</v>
      </c>
      <c r="Q44" s="38">
        <f t="shared" ref="Q44:Q67" ca="1" si="12">IF(M44=0,0,IF(O44="",0,ROUND(P44*O44,2)))</f>
        <v>0</v>
      </c>
      <c r="R44" s="38">
        <f t="shared" ref="R44:R67" si="13">ROUND(IF(P44=0,0,P44/L44),2)</f>
        <v>0</v>
      </c>
      <c r="S44" s="38">
        <f t="shared" ref="S44:S67" ca="1" si="14">ROUND(IF(Q44=0,0,Q44/L44),2)</f>
        <v>0</v>
      </c>
      <c r="T44" s="16" t="str">
        <f t="shared" ref="T44:T67" si="15">IF(M44=0,"",IF(N44=0,"Leistungswert eintragen",IF(O44=0,"SVS prüfen","")))</f>
        <v>Leistungswert eintragen</v>
      </c>
      <c r="U44" s="16">
        <f t="shared" ref="U44:U67" si="16">VLOOKUP(J44,$U$4:$V$13,2,FALSE)</f>
        <v>165</v>
      </c>
      <c r="V44" s="16">
        <f t="shared" ref="V44:V67" si="17">IF(M44=0,0,IF(U44&lt;N44,1,IF(U44&gt;=N44,0,"")))</f>
        <v>0</v>
      </c>
    </row>
    <row r="45" spans="1:22" ht="15" customHeight="1" x14ac:dyDescent="0.2">
      <c r="A45" s="78">
        <v>24</v>
      </c>
      <c r="B45" s="88">
        <v>111</v>
      </c>
      <c r="C45" s="89" t="s">
        <v>276</v>
      </c>
      <c r="D45" s="89" t="s">
        <v>319</v>
      </c>
      <c r="E45" s="89" t="s">
        <v>321</v>
      </c>
      <c r="F45" s="89" t="s">
        <v>229</v>
      </c>
      <c r="G45" s="90">
        <v>63.73</v>
      </c>
      <c r="H45" s="90"/>
      <c r="I45" s="90"/>
      <c r="J45" s="78" t="s">
        <v>313</v>
      </c>
      <c r="K45" s="90">
        <v>5</v>
      </c>
      <c r="L45" s="38">
        <f>VLOOKUP(K45,Reinigungstage!A10:I31,9,FALSE)</f>
        <v>57.66</v>
      </c>
      <c r="M45" s="38">
        <f t="shared" si="9"/>
        <v>3674.67</v>
      </c>
      <c r="N45" s="92">
        <f t="shared" si="10"/>
        <v>0</v>
      </c>
      <c r="O45" s="38">
        <f ca="1">IF('SVS UnterhaltsRG'!H61="",0,'SVS UnterhaltsRG'!H61)</f>
        <v>0</v>
      </c>
      <c r="P45" s="38">
        <f t="shared" si="11"/>
        <v>0</v>
      </c>
      <c r="Q45" s="38">
        <f t="shared" ca="1" si="12"/>
        <v>0</v>
      </c>
      <c r="R45" s="38">
        <f t="shared" si="13"/>
        <v>0</v>
      </c>
      <c r="S45" s="38">
        <f t="shared" ca="1" si="14"/>
        <v>0</v>
      </c>
      <c r="T45" s="16" t="str">
        <f t="shared" si="15"/>
        <v>Leistungswert eintragen</v>
      </c>
      <c r="U45" s="16">
        <f t="shared" si="16"/>
        <v>450</v>
      </c>
      <c r="V45" s="16">
        <f t="shared" si="17"/>
        <v>0</v>
      </c>
    </row>
    <row r="46" spans="1:22" ht="15" customHeight="1" x14ac:dyDescent="0.2">
      <c r="A46" s="78">
        <v>25</v>
      </c>
      <c r="B46" s="88">
        <v>112</v>
      </c>
      <c r="C46" s="89" t="s">
        <v>276</v>
      </c>
      <c r="D46" s="89" t="s">
        <v>319</v>
      </c>
      <c r="E46" s="89" t="s">
        <v>345</v>
      </c>
      <c r="F46" s="89" t="s">
        <v>227</v>
      </c>
      <c r="G46" s="90">
        <v>3.96</v>
      </c>
      <c r="H46" s="90"/>
      <c r="I46" s="90"/>
      <c r="J46" s="78" t="s">
        <v>313</v>
      </c>
      <c r="K46" s="90">
        <v>5</v>
      </c>
      <c r="L46" s="38">
        <f>VLOOKUP(K46,Reinigungstage!A10:I31,9,FALSE)</f>
        <v>57.66</v>
      </c>
      <c r="M46" s="38">
        <f t="shared" si="9"/>
        <v>228.33</v>
      </c>
      <c r="N46" s="92">
        <f t="shared" si="10"/>
        <v>0</v>
      </c>
      <c r="O46" s="38">
        <f ca="1">IF('SVS UnterhaltsRG'!H61="",0,'SVS UnterhaltsRG'!H61)</f>
        <v>0</v>
      </c>
      <c r="P46" s="38">
        <f t="shared" si="11"/>
        <v>0</v>
      </c>
      <c r="Q46" s="38">
        <f t="shared" ca="1" si="12"/>
        <v>0</v>
      </c>
      <c r="R46" s="38">
        <f t="shared" si="13"/>
        <v>0</v>
      </c>
      <c r="S46" s="38">
        <f t="shared" ca="1" si="14"/>
        <v>0</v>
      </c>
      <c r="T46" s="16" t="str">
        <f t="shared" si="15"/>
        <v>Leistungswert eintragen</v>
      </c>
      <c r="U46" s="16">
        <f t="shared" si="16"/>
        <v>450</v>
      </c>
      <c r="V46" s="16">
        <f t="shared" si="17"/>
        <v>0</v>
      </c>
    </row>
    <row r="47" spans="1:22" ht="15" customHeight="1" x14ac:dyDescent="0.2">
      <c r="A47" s="78">
        <v>26</v>
      </c>
      <c r="B47" s="88" t="s">
        <v>346</v>
      </c>
      <c r="C47" s="89" t="s">
        <v>276</v>
      </c>
      <c r="D47" s="89" t="s">
        <v>319</v>
      </c>
      <c r="E47" s="89" t="s">
        <v>347</v>
      </c>
      <c r="F47" s="89" t="s">
        <v>229</v>
      </c>
      <c r="G47" s="90">
        <v>4.28</v>
      </c>
      <c r="H47" s="90"/>
      <c r="I47" s="90"/>
      <c r="J47" s="78" t="s">
        <v>307</v>
      </c>
      <c r="K47" s="78" t="s">
        <v>154</v>
      </c>
      <c r="L47" s="38">
        <f>VLOOKUP(K47,Reinigungstage!A10:I31,9,FALSE)</f>
        <v>1</v>
      </c>
      <c r="M47" s="38">
        <f t="shared" si="9"/>
        <v>4.28</v>
      </c>
      <c r="N47" s="92">
        <f t="shared" si="10"/>
        <v>0</v>
      </c>
      <c r="O47" s="38">
        <f ca="1">IF('SVS UnterhaltsRG'!H61="",0,'SVS UnterhaltsRG'!H61)</f>
        <v>0</v>
      </c>
      <c r="P47" s="38">
        <f t="shared" si="11"/>
        <v>0</v>
      </c>
      <c r="Q47" s="38">
        <f t="shared" ca="1" si="12"/>
        <v>0</v>
      </c>
      <c r="R47" s="38">
        <f t="shared" si="13"/>
        <v>0</v>
      </c>
      <c r="S47" s="38">
        <f t="shared" ca="1" si="14"/>
        <v>0</v>
      </c>
      <c r="T47" s="16" t="str">
        <f t="shared" si="15"/>
        <v>Leistungswert eintragen</v>
      </c>
      <c r="U47" s="16">
        <f t="shared" si="16"/>
        <v>165</v>
      </c>
      <c r="V47" s="16">
        <f t="shared" si="17"/>
        <v>0</v>
      </c>
    </row>
    <row r="48" spans="1:22" ht="15" customHeight="1" x14ac:dyDescent="0.2">
      <c r="A48" s="78">
        <v>27</v>
      </c>
      <c r="B48" s="88">
        <v>201</v>
      </c>
      <c r="C48" s="89" t="s">
        <v>348</v>
      </c>
      <c r="D48" s="89" t="s">
        <v>319</v>
      </c>
      <c r="E48" s="89" t="s">
        <v>320</v>
      </c>
      <c r="F48" s="89" t="s">
        <v>227</v>
      </c>
      <c r="G48" s="90">
        <v>9.75</v>
      </c>
      <c r="H48" s="90"/>
      <c r="I48" s="90"/>
      <c r="J48" s="78" t="s">
        <v>307</v>
      </c>
      <c r="K48" s="90">
        <v>5</v>
      </c>
      <c r="L48" s="38">
        <f>VLOOKUP(K48,Reinigungstage!A10:I31,9,FALSE)</f>
        <v>57.66</v>
      </c>
      <c r="M48" s="38">
        <f t="shared" si="9"/>
        <v>562.19000000000005</v>
      </c>
      <c r="N48" s="92">
        <f t="shared" si="10"/>
        <v>0</v>
      </c>
      <c r="O48" s="38">
        <f ca="1">IF('SVS UnterhaltsRG'!H61="",0,'SVS UnterhaltsRG'!H61)</f>
        <v>0</v>
      </c>
      <c r="P48" s="38">
        <f t="shared" si="11"/>
        <v>0</v>
      </c>
      <c r="Q48" s="38">
        <f t="shared" ca="1" si="12"/>
        <v>0</v>
      </c>
      <c r="R48" s="38">
        <f t="shared" si="13"/>
        <v>0</v>
      </c>
      <c r="S48" s="38">
        <f t="shared" ca="1" si="14"/>
        <v>0</v>
      </c>
      <c r="T48" s="16" t="str">
        <f t="shared" si="15"/>
        <v>Leistungswert eintragen</v>
      </c>
      <c r="U48" s="16">
        <f t="shared" si="16"/>
        <v>165</v>
      </c>
      <c r="V48" s="16">
        <f t="shared" si="17"/>
        <v>0</v>
      </c>
    </row>
    <row r="49" spans="1:22" ht="15" customHeight="1" x14ac:dyDescent="0.2">
      <c r="A49" s="78">
        <v>28</v>
      </c>
      <c r="B49" s="88" t="s">
        <v>349</v>
      </c>
      <c r="C49" s="89" t="s">
        <v>348</v>
      </c>
      <c r="D49" s="89" t="s">
        <v>319</v>
      </c>
      <c r="E49" s="89" t="s">
        <v>350</v>
      </c>
      <c r="F49" s="89" t="s">
        <v>227</v>
      </c>
      <c r="G49" s="90">
        <v>14.46</v>
      </c>
      <c r="H49" s="90"/>
      <c r="I49" s="90"/>
      <c r="J49" s="78" t="s">
        <v>307</v>
      </c>
      <c r="K49" s="90">
        <v>5</v>
      </c>
      <c r="L49" s="38">
        <f>VLOOKUP(K49,Reinigungstage!A10:I31,9,FALSE)</f>
        <v>57.66</v>
      </c>
      <c r="M49" s="38">
        <f t="shared" si="9"/>
        <v>833.76</v>
      </c>
      <c r="N49" s="92">
        <f t="shared" si="10"/>
        <v>0</v>
      </c>
      <c r="O49" s="38">
        <f ca="1">IF('SVS UnterhaltsRG'!H61="",0,'SVS UnterhaltsRG'!H61)</f>
        <v>0</v>
      </c>
      <c r="P49" s="38">
        <f t="shared" si="11"/>
        <v>0</v>
      </c>
      <c r="Q49" s="38">
        <f t="shared" ca="1" si="12"/>
        <v>0</v>
      </c>
      <c r="R49" s="38">
        <f t="shared" si="13"/>
        <v>0</v>
      </c>
      <c r="S49" s="38">
        <f t="shared" ca="1" si="14"/>
        <v>0</v>
      </c>
      <c r="T49" s="16" t="str">
        <f t="shared" si="15"/>
        <v>Leistungswert eintragen</v>
      </c>
      <c r="U49" s="16">
        <f t="shared" si="16"/>
        <v>165</v>
      </c>
      <c r="V49" s="16">
        <f t="shared" si="17"/>
        <v>0</v>
      </c>
    </row>
    <row r="50" spans="1:22" ht="15" customHeight="1" x14ac:dyDescent="0.2">
      <c r="A50" s="78">
        <v>29</v>
      </c>
      <c r="B50" s="88">
        <v>202</v>
      </c>
      <c r="C50" s="89" t="s">
        <v>348</v>
      </c>
      <c r="D50" s="89" t="s">
        <v>319</v>
      </c>
      <c r="E50" s="89" t="s">
        <v>321</v>
      </c>
      <c r="F50" s="89" t="s">
        <v>229</v>
      </c>
      <c r="G50" s="90">
        <v>49.7</v>
      </c>
      <c r="H50" s="90"/>
      <c r="I50" s="90"/>
      <c r="J50" s="78" t="s">
        <v>313</v>
      </c>
      <c r="K50" s="90">
        <v>5</v>
      </c>
      <c r="L50" s="38">
        <f>VLOOKUP(K50,Reinigungstage!A10:I31,9,FALSE)</f>
        <v>57.66</v>
      </c>
      <c r="M50" s="38">
        <f t="shared" si="9"/>
        <v>2865.7</v>
      </c>
      <c r="N50" s="92">
        <f t="shared" si="10"/>
        <v>0</v>
      </c>
      <c r="O50" s="38">
        <f ca="1">IF('SVS UnterhaltsRG'!H61="",0,'SVS UnterhaltsRG'!H61)</f>
        <v>0</v>
      </c>
      <c r="P50" s="38">
        <f t="shared" si="11"/>
        <v>0</v>
      </c>
      <c r="Q50" s="38">
        <f t="shared" ca="1" si="12"/>
        <v>0</v>
      </c>
      <c r="R50" s="38">
        <f t="shared" si="13"/>
        <v>0</v>
      </c>
      <c r="S50" s="38">
        <f t="shared" ca="1" si="14"/>
        <v>0</v>
      </c>
      <c r="T50" s="16" t="str">
        <f t="shared" si="15"/>
        <v>Leistungswert eintragen</v>
      </c>
      <c r="U50" s="16">
        <f t="shared" si="16"/>
        <v>450</v>
      </c>
      <c r="V50" s="16">
        <f t="shared" si="17"/>
        <v>0</v>
      </c>
    </row>
    <row r="51" spans="1:22" ht="15" customHeight="1" x14ac:dyDescent="0.2">
      <c r="A51" s="78">
        <v>30</v>
      </c>
      <c r="B51" s="88">
        <v>204</v>
      </c>
      <c r="C51" s="89" t="s">
        <v>348</v>
      </c>
      <c r="D51" s="89" t="s">
        <v>319</v>
      </c>
      <c r="E51" s="89" t="s">
        <v>352</v>
      </c>
      <c r="F51" s="89" t="s">
        <v>229</v>
      </c>
      <c r="G51" s="90">
        <v>50.4</v>
      </c>
      <c r="H51" s="90"/>
      <c r="I51" s="90"/>
      <c r="J51" s="78" t="s">
        <v>311</v>
      </c>
      <c r="K51" s="90">
        <v>5</v>
      </c>
      <c r="L51" s="38">
        <f>VLOOKUP(K51,Reinigungstage!A10:I31,9,FALSE)</f>
        <v>57.66</v>
      </c>
      <c r="M51" s="38">
        <f t="shared" si="9"/>
        <v>2906.06</v>
      </c>
      <c r="N51" s="92">
        <f t="shared" si="10"/>
        <v>0</v>
      </c>
      <c r="O51" s="38">
        <f ca="1">IF('SVS UnterhaltsRG'!H61="",0,'SVS UnterhaltsRG'!H61)</f>
        <v>0</v>
      </c>
      <c r="P51" s="38">
        <f t="shared" si="11"/>
        <v>0</v>
      </c>
      <c r="Q51" s="38">
        <f t="shared" ca="1" si="12"/>
        <v>0</v>
      </c>
      <c r="R51" s="38">
        <f t="shared" si="13"/>
        <v>0</v>
      </c>
      <c r="S51" s="38">
        <f t="shared" ca="1" si="14"/>
        <v>0</v>
      </c>
      <c r="T51" s="16" t="str">
        <f t="shared" si="15"/>
        <v>Leistungswert eintragen</v>
      </c>
      <c r="U51" s="16">
        <f t="shared" si="16"/>
        <v>170</v>
      </c>
      <c r="V51" s="16">
        <f t="shared" si="17"/>
        <v>0</v>
      </c>
    </row>
    <row r="52" spans="1:22" ht="15" customHeight="1" x14ac:dyDescent="0.2">
      <c r="A52" s="78">
        <v>31</v>
      </c>
      <c r="B52" s="88">
        <v>205</v>
      </c>
      <c r="C52" s="89" t="s">
        <v>348</v>
      </c>
      <c r="D52" s="89" t="s">
        <v>319</v>
      </c>
      <c r="E52" s="89" t="s">
        <v>284</v>
      </c>
      <c r="F52" s="89" t="s">
        <v>229</v>
      </c>
      <c r="G52" s="90">
        <v>33.53</v>
      </c>
      <c r="H52" s="90"/>
      <c r="I52" s="90"/>
      <c r="J52" s="78" t="s">
        <v>309</v>
      </c>
      <c r="K52" s="90">
        <v>1</v>
      </c>
      <c r="L52" s="38">
        <f>VLOOKUP(K52,Reinigungstage!A10:I31,9,FALSE)</f>
        <v>11.98</v>
      </c>
      <c r="M52" s="38">
        <f t="shared" si="9"/>
        <v>401.69</v>
      </c>
      <c r="N52" s="92">
        <f t="shared" si="10"/>
        <v>0</v>
      </c>
      <c r="O52" s="38">
        <f ca="1">IF('SVS UnterhaltsRG'!H61="",0,'SVS UnterhaltsRG'!H61)</f>
        <v>0</v>
      </c>
      <c r="P52" s="38">
        <f t="shared" si="11"/>
        <v>0</v>
      </c>
      <c r="Q52" s="38">
        <f t="shared" ca="1" si="12"/>
        <v>0</v>
      </c>
      <c r="R52" s="38">
        <f t="shared" si="13"/>
        <v>0</v>
      </c>
      <c r="S52" s="38">
        <f t="shared" ca="1" si="14"/>
        <v>0</v>
      </c>
      <c r="T52" s="16" t="str">
        <f t="shared" si="15"/>
        <v>Leistungswert eintragen</v>
      </c>
      <c r="U52" s="16">
        <f t="shared" si="16"/>
        <v>215</v>
      </c>
      <c r="V52" s="16">
        <f t="shared" si="17"/>
        <v>0</v>
      </c>
    </row>
    <row r="53" spans="1:22" ht="15" customHeight="1" x14ac:dyDescent="0.2">
      <c r="A53" s="78">
        <v>32</v>
      </c>
      <c r="B53" s="88">
        <v>206</v>
      </c>
      <c r="C53" s="89" t="s">
        <v>348</v>
      </c>
      <c r="D53" s="89" t="s">
        <v>319</v>
      </c>
      <c r="E53" s="89" t="s">
        <v>353</v>
      </c>
      <c r="F53" s="89" t="s">
        <v>229</v>
      </c>
      <c r="G53" s="90">
        <v>40.04</v>
      </c>
      <c r="H53" s="90"/>
      <c r="I53" s="90"/>
      <c r="J53" s="78" t="s">
        <v>311</v>
      </c>
      <c r="K53" s="90">
        <v>5</v>
      </c>
      <c r="L53" s="38">
        <f>VLOOKUP(K53,Reinigungstage!A10:I31,9,FALSE)</f>
        <v>57.66</v>
      </c>
      <c r="M53" s="38">
        <f t="shared" si="9"/>
        <v>2308.71</v>
      </c>
      <c r="N53" s="92">
        <f t="shared" si="10"/>
        <v>0</v>
      </c>
      <c r="O53" s="38">
        <f ca="1">IF('SVS UnterhaltsRG'!H61="",0,'SVS UnterhaltsRG'!H61)</f>
        <v>0</v>
      </c>
      <c r="P53" s="38">
        <f t="shared" si="11"/>
        <v>0</v>
      </c>
      <c r="Q53" s="38">
        <f t="shared" ca="1" si="12"/>
        <v>0</v>
      </c>
      <c r="R53" s="38">
        <f t="shared" si="13"/>
        <v>0</v>
      </c>
      <c r="S53" s="38">
        <f t="shared" ca="1" si="14"/>
        <v>0</v>
      </c>
      <c r="T53" s="16" t="str">
        <f t="shared" si="15"/>
        <v>Leistungswert eintragen</v>
      </c>
      <c r="U53" s="16">
        <f t="shared" si="16"/>
        <v>170</v>
      </c>
      <c r="V53" s="16">
        <f t="shared" si="17"/>
        <v>0</v>
      </c>
    </row>
    <row r="54" spans="1:22" ht="15" customHeight="1" x14ac:dyDescent="0.2">
      <c r="A54" s="78">
        <v>33</v>
      </c>
      <c r="B54" s="88">
        <v>207</v>
      </c>
      <c r="C54" s="89" t="s">
        <v>348</v>
      </c>
      <c r="D54" s="89" t="s">
        <v>319</v>
      </c>
      <c r="E54" s="89" t="s">
        <v>354</v>
      </c>
      <c r="F54" s="89" t="s">
        <v>229</v>
      </c>
      <c r="G54" s="90">
        <v>31.77</v>
      </c>
      <c r="H54" s="90"/>
      <c r="I54" s="90"/>
      <c r="J54" s="78" t="s">
        <v>311</v>
      </c>
      <c r="K54" s="90">
        <v>5</v>
      </c>
      <c r="L54" s="38">
        <f>VLOOKUP(K54,Reinigungstage!A10:I31,9,FALSE)</f>
        <v>57.66</v>
      </c>
      <c r="M54" s="38">
        <f t="shared" si="9"/>
        <v>1831.86</v>
      </c>
      <c r="N54" s="92">
        <f t="shared" si="10"/>
        <v>0</v>
      </c>
      <c r="O54" s="38">
        <f ca="1">IF('SVS UnterhaltsRG'!H61="",0,'SVS UnterhaltsRG'!H61)</f>
        <v>0</v>
      </c>
      <c r="P54" s="38">
        <f t="shared" si="11"/>
        <v>0</v>
      </c>
      <c r="Q54" s="38">
        <f t="shared" ca="1" si="12"/>
        <v>0</v>
      </c>
      <c r="R54" s="38">
        <f t="shared" si="13"/>
        <v>0</v>
      </c>
      <c r="S54" s="38">
        <f t="shared" ca="1" si="14"/>
        <v>0</v>
      </c>
      <c r="T54" s="16" t="str">
        <f t="shared" si="15"/>
        <v>Leistungswert eintragen</v>
      </c>
      <c r="U54" s="16">
        <f t="shared" si="16"/>
        <v>170</v>
      </c>
      <c r="V54" s="16">
        <f t="shared" si="17"/>
        <v>0</v>
      </c>
    </row>
    <row r="55" spans="1:22" ht="15" customHeight="1" x14ac:dyDescent="0.2">
      <c r="A55" s="78">
        <v>34</v>
      </c>
      <c r="B55" s="88">
        <v>208</v>
      </c>
      <c r="C55" s="89" t="s">
        <v>348</v>
      </c>
      <c r="D55" s="89" t="s">
        <v>319</v>
      </c>
      <c r="E55" s="89" t="s">
        <v>355</v>
      </c>
      <c r="F55" s="89" t="s">
        <v>229</v>
      </c>
      <c r="G55" s="90">
        <v>13.74</v>
      </c>
      <c r="H55" s="90"/>
      <c r="I55" s="90"/>
      <c r="J55" s="78" t="s">
        <v>309</v>
      </c>
      <c r="K55" s="90">
        <v>1</v>
      </c>
      <c r="L55" s="38">
        <f>VLOOKUP(K55,Reinigungstage!A10:I31,9,FALSE)</f>
        <v>11.98</v>
      </c>
      <c r="M55" s="38">
        <f t="shared" si="9"/>
        <v>164.61</v>
      </c>
      <c r="N55" s="92">
        <f t="shared" si="10"/>
        <v>0</v>
      </c>
      <c r="O55" s="38">
        <f ca="1">IF('SVS UnterhaltsRG'!H61="",0,'SVS UnterhaltsRG'!H61)</f>
        <v>0</v>
      </c>
      <c r="P55" s="38">
        <f t="shared" si="11"/>
        <v>0</v>
      </c>
      <c r="Q55" s="38">
        <f t="shared" ca="1" si="12"/>
        <v>0</v>
      </c>
      <c r="R55" s="38">
        <f t="shared" si="13"/>
        <v>0</v>
      </c>
      <c r="S55" s="38">
        <f t="shared" ca="1" si="14"/>
        <v>0</v>
      </c>
      <c r="T55" s="16" t="str">
        <f t="shared" si="15"/>
        <v>Leistungswert eintragen</v>
      </c>
      <c r="U55" s="16">
        <f t="shared" si="16"/>
        <v>215</v>
      </c>
      <c r="V55" s="16">
        <f t="shared" si="17"/>
        <v>0</v>
      </c>
    </row>
    <row r="56" spans="1:22" ht="15" customHeight="1" x14ac:dyDescent="0.2">
      <c r="A56" s="78">
        <v>35</v>
      </c>
      <c r="B56" s="88">
        <v>209</v>
      </c>
      <c r="C56" s="89" t="s">
        <v>348</v>
      </c>
      <c r="D56" s="89" t="s">
        <v>319</v>
      </c>
      <c r="E56" s="89" t="s">
        <v>356</v>
      </c>
      <c r="F56" s="89" t="s">
        <v>229</v>
      </c>
      <c r="G56" s="90">
        <v>24.82</v>
      </c>
      <c r="H56" s="90"/>
      <c r="I56" s="90"/>
      <c r="J56" s="78" t="s">
        <v>314</v>
      </c>
      <c r="K56" s="90">
        <v>1</v>
      </c>
      <c r="L56" s="38">
        <f>VLOOKUP(K56,Reinigungstage!A10:I31,9,FALSE)</f>
        <v>11.98</v>
      </c>
      <c r="M56" s="38">
        <f t="shared" si="9"/>
        <v>297.33999999999997</v>
      </c>
      <c r="N56" s="92">
        <f t="shared" si="10"/>
        <v>0</v>
      </c>
      <c r="O56" s="38">
        <f ca="1">IF('SVS UnterhaltsRG'!H61="",0,'SVS UnterhaltsRG'!H61)</f>
        <v>0</v>
      </c>
      <c r="P56" s="38">
        <f t="shared" si="11"/>
        <v>0</v>
      </c>
      <c r="Q56" s="38">
        <f t="shared" ca="1" si="12"/>
        <v>0</v>
      </c>
      <c r="R56" s="38">
        <f t="shared" si="13"/>
        <v>0</v>
      </c>
      <c r="S56" s="38">
        <f t="shared" ca="1" si="14"/>
        <v>0</v>
      </c>
      <c r="T56" s="16" t="str">
        <f t="shared" si="15"/>
        <v>Leistungswert eintragen</v>
      </c>
      <c r="U56" s="16">
        <f t="shared" si="16"/>
        <v>195</v>
      </c>
      <c r="V56" s="16">
        <f t="shared" si="17"/>
        <v>0</v>
      </c>
    </row>
    <row r="57" spans="1:22" ht="15" customHeight="1" x14ac:dyDescent="0.2">
      <c r="A57" s="78">
        <v>36</v>
      </c>
      <c r="B57" s="88">
        <v>210</v>
      </c>
      <c r="C57" s="89" t="s">
        <v>348</v>
      </c>
      <c r="D57" s="89" t="s">
        <v>319</v>
      </c>
      <c r="E57" s="89" t="s">
        <v>237</v>
      </c>
      <c r="F57" s="89" t="s">
        <v>227</v>
      </c>
      <c r="G57" s="90">
        <v>9.7799999999999994</v>
      </c>
      <c r="H57" s="90"/>
      <c r="I57" s="90"/>
      <c r="J57" s="78" t="s">
        <v>312</v>
      </c>
      <c r="K57" s="90">
        <v>5</v>
      </c>
      <c r="L57" s="38">
        <f>VLOOKUP(K57,Reinigungstage!A10:I31,9,FALSE)</f>
        <v>57.66</v>
      </c>
      <c r="M57" s="38">
        <f t="shared" si="9"/>
        <v>563.91</v>
      </c>
      <c r="N57" s="92">
        <f t="shared" si="10"/>
        <v>0</v>
      </c>
      <c r="O57" s="38">
        <f ca="1">IF('SVS UnterhaltsRG'!H61="",0,'SVS UnterhaltsRG'!H61)</f>
        <v>0</v>
      </c>
      <c r="P57" s="38">
        <f t="shared" si="11"/>
        <v>0</v>
      </c>
      <c r="Q57" s="38">
        <f t="shared" ca="1" si="12"/>
        <v>0</v>
      </c>
      <c r="R57" s="38">
        <f t="shared" si="13"/>
        <v>0</v>
      </c>
      <c r="S57" s="38">
        <f t="shared" ca="1" si="14"/>
        <v>0</v>
      </c>
      <c r="T57" s="16" t="str">
        <f t="shared" si="15"/>
        <v>Leistungswert eintragen</v>
      </c>
      <c r="U57" s="16">
        <f t="shared" si="16"/>
        <v>75</v>
      </c>
      <c r="V57" s="16">
        <f t="shared" si="17"/>
        <v>0</v>
      </c>
    </row>
    <row r="58" spans="1:22" ht="15" customHeight="1" x14ac:dyDescent="0.2">
      <c r="A58" s="78">
        <v>37</v>
      </c>
      <c r="B58" s="88">
        <v>211</v>
      </c>
      <c r="C58" s="89" t="s">
        <v>348</v>
      </c>
      <c r="D58" s="89" t="s">
        <v>319</v>
      </c>
      <c r="E58" s="89" t="s">
        <v>235</v>
      </c>
      <c r="F58" s="89" t="s">
        <v>227</v>
      </c>
      <c r="G58" s="90">
        <v>6.17</v>
      </c>
      <c r="H58" s="90"/>
      <c r="I58" s="90"/>
      <c r="J58" s="78" t="s">
        <v>312</v>
      </c>
      <c r="K58" s="90">
        <v>5</v>
      </c>
      <c r="L58" s="38">
        <f>VLOOKUP(K58,Reinigungstage!A10:I31,9,FALSE)</f>
        <v>57.66</v>
      </c>
      <c r="M58" s="38">
        <f t="shared" si="9"/>
        <v>355.76</v>
      </c>
      <c r="N58" s="92">
        <f t="shared" si="10"/>
        <v>0</v>
      </c>
      <c r="O58" s="38">
        <f ca="1">IF('SVS UnterhaltsRG'!H61="",0,'SVS UnterhaltsRG'!H61)</f>
        <v>0</v>
      </c>
      <c r="P58" s="38">
        <f t="shared" si="11"/>
        <v>0</v>
      </c>
      <c r="Q58" s="38">
        <f t="shared" ca="1" si="12"/>
        <v>0</v>
      </c>
      <c r="R58" s="38">
        <f t="shared" si="13"/>
        <v>0</v>
      </c>
      <c r="S58" s="38">
        <f t="shared" ca="1" si="14"/>
        <v>0</v>
      </c>
      <c r="T58" s="16" t="str">
        <f t="shared" si="15"/>
        <v>Leistungswert eintragen</v>
      </c>
      <c r="U58" s="16">
        <f t="shared" si="16"/>
        <v>75</v>
      </c>
      <c r="V58" s="16">
        <f t="shared" si="17"/>
        <v>0</v>
      </c>
    </row>
    <row r="59" spans="1:22" ht="15" customHeight="1" x14ac:dyDescent="0.2">
      <c r="A59" s="78">
        <v>38</v>
      </c>
      <c r="B59" s="88">
        <v>212</v>
      </c>
      <c r="C59" s="89" t="s">
        <v>348</v>
      </c>
      <c r="D59" s="89" t="s">
        <v>319</v>
      </c>
      <c r="E59" s="89" t="s">
        <v>357</v>
      </c>
      <c r="F59" s="89" t="s">
        <v>227</v>
      </c>
      <c r="G59" s="90">
        <v>4.83</v>
      </c>
      <c r="H59" s="90"/>
      <c r="I59" s="90"/>
      <c r="J59" s="78" t="s">
        <v>312</v>
      </c>
      <c r="K59" s="90">
        <v>5</v>
      </c>
      <c r="L59" s="38">
        <f>VLOOKUP(K59,Reinigungstage!A10:I31,9,FALSE)</f>
        <v>57.66</v>
      </c>
      <c r="M59" s="38">
        <f t="shared" si="9"/>
        <v>278.5</v>
      </c>
      <c r="N59" s="92">
        <f t="shared" si="10"/>
        <v>0</v>
      </c>
      <c r="O59" s="38">
        <f ca="1">IF('SVS UnterhaltsRG'!H61="",0,'SVS UnterhaltsRG'!H61)</f>
        <v>0</v>
      </c>
      <c r="P59" s="38">
        <f t="shared" si="11"/>
        <v>0</v>
      </c>
      <c r="Q59" s="38">
        <f t="shared" ca="1" si="12"/>
        <v>0</v>
      </c>
      <c r="R59" s="38">
        <f t="shared" si="13"/>
        <v>0</v>
      </c>
      <c r="S59" s="38">
        <f t="shared" ca="1" si="14"/>
        <v>0</v>
      </c>
      <c r="T59" s="16" t="str">
        <f t="shared" si="15"/>
        <v>Leistungswert eintragen</v>
      </c>
      <c r="U59" s="16">
        <f t="shared" si="16"/>
        <v>75</v>
      </c>
      <c r="V59" s="16">
        <f t="shared" si="17"/>
        <v>0</v>
      </c>
    </row>
    <row r="60" spans="1:22" ht="15" customHeight="1" x14ac:dyDescent="0.2">
      <c r="A60" s="78">
        <v>39</v>
      </c>
      <c r="B60" s="88">
        <v>213</v>
      </c>
      <c r="C60" s="89" t="s">
        <v>348</v>
      </c>
      <c r="D60" s="89" t="s">
        <v>319</v>
      </c>
      <c r="E60" s="89" t="s">
        <v>320</v>
      </c>
      <c r="F60" s="89" t="s">
        <v>227</v>
      </c>
      <c r="G60" s="90">
        <v>4.37</v>
      </c>
      <c r="H60" s="90"/>
      <c r="I60" s="90"/>
      <c r="J60" s="78" t="s">
        <v>307</v>
      </c>
      <c r="K60" s="90">
        <v>5</v>
      </c>
      <c r="L60" s="38">
        <f>VLOOKUP(K60,Reinigungstage!A10:I31,9,FALSE)</f>
        <v>57.66</v>
      </c>
      <c r="M60" s="38">
        <f t="shared" si="9"/>
        <v>251.97</v>
      </c>
      <c r="N60" s="92">
        <f t="shared" si="10"/>
        <v>0</v>
      </c>
      <c r="O60" s="38">
        <f ca="1">IF('SVS UnterhaltsRG'!H61="",0,'SVS UnterhaltsRG'!H61)</f>
        <v>0</v>
      </c>
      <c r="P60" s="38">
        <f t="shared" si="11"/>
        <v>0</v>
      </c>
      <c r="Q60" s="38">
        <f t="shared" ca="1" si="12"/>
        <v>0</v>
      </c>
      <c r="R60" s="38">
        <f t="shared" si="13"/>
        <v>0</v>
      </c>
      <c r="S60" s="38">
        <f t="shared" ca="1" si="14"/>
        <v>0</v>
      </c>
      <c r="T60" s="16" t="str">
        <f t="shared" si="15"/>
        <v>Leistungswert eintragen</v>
      </c>
      <c r="U60" s="16">
        <f t="shared" si="16"/>
        <v>165</v>
      </c>
      <c r="V60" s="16">
        <f t="shared" si="17"/>
        <v>0</v>
      </c>
    </row>
    <row r="61" spans="1:22" ht="15" customHeight="1" x14ac:dyDescent="0.2">
      <c r="A61" s="78">
        <v>40</v>
      </c>
      <c r="B61" s="88" t="s">
        <v>358</v>
      </c>
      <c r="C61" s="89" t="s">
        <v>348</v>
      </c>
      <c r="D61" s="89" t="s">
        <v>319</v>
      </c>
      <c r="E61" s="89" t="s">
        <v>350</v>
      </c>
      <c r="F61" s="89" t="s">
        <v>227</v>
      </c>
      <c r="G61" s="90">
        <v>11.21</v>
      </c>
      <c r="H61" s="90"/>
      <c r="I61" s="90"/>
      <c r="J61" s="78" t="s">
        <v>307</v>
      </c>
      <c r="K61" s="90">
        <v>5</v>
      </c>
      <c r="L61" s="38">
        <f>VLOOKUP(K61,Reinigungstage!A10:I31,9,FALSE)</f>
        <v>57.66</v>
      </c>
      <c r="M61" s="38">
        <f t="shared" si="9"/>
        <v>646.37</v>
      </c>
      <c r="N61" s="92">
        <f t="shared" si="10"/>
        <v>0</v>
      </c>
      <c r="O61" s="38">
        <f ca="1">IF('SVS UnterhaltsRG'!H61="",0,'SVS UnterhaltsRG'!H61)</f>
        <v>0</v>
      </c>
      <c r="P61" s="38">
        <f t="shared" si="11"/>
        <v>0</v>
      </c>
      <c r="Q61" s="38">
        <f t="shared" ca="1" si="12"/>
        <v>0</v>
      </c>
      <c r="R61" s="38">
        <f t="shared" si="13"/>
        <v>0</v>
      </c>
      <c r="S61" s="38">
        <f t="shared" ca="1" si="14"/>
        <v>0</v>
      </c>
      <c r="T61" s="16" t="str">
        <f t="shared" si="15"/>
        <v>Leistungswert eintragen</v>
      </c>
      <c r="U61" s="16">
        <f t="shared" si="16"/>
        <v>165</v>
      </c>
      <c r="V61" s="16">
        <f t="shared" si="17"/>
        <v>0</v>
      </c>
    </row>
    <row r="62" spans="1:22" ht="15" customHeight="1" x14ac:dyDescent="0.2">
      <c r="A62" s="78">
        <v>41</v>
      </c>
      <c r="B62" s="88">
        <v>113</v>
      </c>
      <c r="C62" s="89" t="s">
        <v>276</v>
      </c>
      <c r="D62" s="89" t="s">
        <v>359</v>
      </c>
      <c r="E62" s="89" t="s">
        <v>277</v>
      </c>
      <c r="F62" s="89" t="s">
        <v>227</v>
      </c>
      <c r="G62" s="90">
        <v>109.15</v>
      </c>
      <c r="H62" s="90"/>
      <c r="I62" s="90"/>
      <c r="J62" s="78" t="s">
        <v>313</v>
      </c>
      <c r="K62" s="90">
        <v>5</v>
      </c>
      <c r="L62" s="38">
        <f>VLOOKUP(K62,Reinigungstage!A10:I31,9,FALSE)</f>
        <v>57.66</v>
      </c>
      <c r="M62" s="38">
        <f t="shared" si="9"/>
        <v>6293.59</v>
      </c>
      <c r="N62" s="92">
        <f t="shared" si="10"/>
        <v>0</v>
      </c>
      <c r="O62" s="38">
        <f ca="1">IF('SVS UnterhaltsRG'!H61="",0,'SVS UnterhaltsRG'!H61)</f>
        <v>0</v>
      </c>
      <c r="P62" s="38">
        <f t="shared" si="11"/>
        <v>0</v>
      </c>
      <c r="Q62" s="38">
        <f t="shared" ca="1" si="12"/>
        <v>0</v>
      </c>
      <c r="R62" s="38">
        <f t="shared" si="13"/>
        <v>0</v>
      </c>
      <c r="S62" s="38">
        <f t="shared" ca="1" si="14"/>
        <v>0</v>
      </c>
      <c r="T62" s="16" t="str">
        <f t="shared" si="15"/>
        <v>Leistungswert eintragen</v>
      </c>
      <c r="U62" s="16">
        <f t="shared" si="16"/>
        <v>450</v>
      </c>
      <c r="V62" s="16">
        <f t="shared" si="17"/>
        <v>0</v>
      </c>
    </row>
    <row r="63" spans="1:22" ht="15" customHeight="1" x14ac:dyDescent="0.2">
      <c r="A63" s="78">
        <v>42</v>
      </c>
      <c r="B63" s="88">
        <v>114</v>
      </c>
      <c r="C63" s="89" t="s">
        <v>276</v>
      </c>
      <c r="D63" s="89" t="s">
        <v>359</v>
      </c>
      <c r="E63" s="89" t="s">
        <v>360</v>
      </c>
      <c r="F63" s="89" t="s">
        <v>227</v>
      </c>
      <c r="G63" s="90">
        <v>9</v>
      </c>
      <c r="H63" s="90"/>
      <c r="I63" s="90"/>
      <c r="J63" s="78" t="s">
        <v>316</v>
      </c>
      <c r="K63" s="90">
        <v>3</v>
      </c>
      <c r="L63" s="38">
        <f>VLOOKUP(K63,Reinigungstage!A10:I31,9,FALSE)</f>
        <v>34.6</v>
      </c>
      <c r="M63" s="38">
        <f t="shared" si="9"/>
        <v>311.39999999999998</v>
      </c>
      <c r="N63" s="92">
        <f t="shared" si="10"/>
        <v>0</v>
      </c>
      <c r="O63" s="38">
        <f ca="1">IF('SVS UnterhaltsRG'!H61="",0,'SVS UnterhaltsRG'!H61)</f>
        <v>0</v>
      </c>
      <c r="P63" s="38">
        <f t="shared" si="11"/>
        <v>0</v>
      </c>
      <c r="Q63" s="38">
        <f t="shared" ca="1" si="12"/>
        <v>0</v>
      </c>
      <c r="R63" s="38">
        <f t="shared" si="13"/>
        <v>0</v>
      </c>
      <c r="S63" s="38">
        <f t="shared" ca="1" si="14"/>
        <v>0</v>
      </c>
      <c r="T63" s="16" t="str">
        <f t="shared" si="15"/>
        <v>Leistungswert eintragen</v>
      </c>
      <c r="U63" s="16">
        <f t="shared" si="16"/>
        <v>220</v>
      </c>
      <c r="V63" s="16">
        <f t="shared" si="17"/>
        <v>0</v>
      </c>
    </row>
    <row r="64" spans="1:22" ht="15" customHeight="1" x14ac:dyDescent="0.2">
      <c r="A64" s="78">
        <v>43</v>
      </c>
      <c r="B64" s="88">
        <v>115</v>
      </c>
      <c r="C64" s="89" t="s">
        <v>276</v>
      </c>
      <c r="D64" s="89" t="s">
        <v>359</v>
      </c>
      <c r="E64" s="89" t="s">
        <v>236</v>
      </c>
      <c r="F64" s="89" t="s">
        <v>227</v>
      </c>
      <c r="G64" s="90">
        <v>4.92</v>
      </c>
      <c r="H64" s="90"/>
      <c r="I64" s="90"/>
      <c r="J64" s="78" t="s">
        <v>312</v>
      </c>
      <c r="K64" s="90">
        <v>3</v>
      </c>
      <c r="L64" s="38">
        <f>VLOOKUP(K64,Reinigungstage!A10:I31,9,FALSE)</f>
        <v>34.6</v>
      </c>
      <c r="M64" s="38">
        <f t="shared" si="9"/>
        <v>170.23</v>
      </c>
      <c r="N64" s="92">
        <f t="shared" si="10"/>
        <v>0</v>
      </c>
      <c r="O64" s="38">
        <f ca="1">IF('SVS UnterhaltsRG'!H61="",0,'SVS UnterhaltsRG'!H61)</f>
        <v>0</v>
      </c>
      <c r="P64" s="38">
        <f t="shared" si="11"/>
        <v>0</v>
      </c>
      <c r="Q64" s="38">
        <f t="shared" ca="1" si="12"/>
        <v>0</v>
      </c>
      <c r="R64" s="38">
        <f t="shared" si="13"/>
        <v>0</v>
      </c>
      <c r="S64" s="38">
        <f t="shared" ca="1" si="14"/>
        <v>0</v>
      </c>
      <c r="T64" s="16" t="str">
        <f t="shared" si="15"/>
        <v>Leistungswert eintragen</v>
      </c>
      <c r="U64" s="16">
        <f t="shared" si="16"/>
        <v>75</v>
      </c>
      <c r="V64" s="16">
        <f t="shared" si="17"/>
        <v>0</v>
      </c>
    </row>
    <row r="65" spans="1:22" ht="15" customHeight="1" x14ac:dyDescent="0.2">
      <c r="A65" s="78">
        <v>44</v>
      </c>
      <c r="B65" s="88">
        <v>118</v>
      </c>
      <c r="C65" s="89" t="s">
        <v>276</v>
      </c>
      <c r="D65" s="89" t="s">
        <v>359</v>
      </c>
      <c r="E65" s="89" t="s">
        <v>363</v>
      </c>
      <c r="F65" s="89" t="s">
        <v>229</v>
      </c>
      <c r="G65" s="90">
        <v>406.95</v>
      </c>
      <c r="H65" s="90"/>
      <c r="I65" s="90"/>
      <c r="J65" s="78" t="s">
        <v>317</v>
      </c>
      <c r="K65" s="90">
        <v>3</v>
      </c>
      <c r="L65" s="38">
        <f>VLOOKUP(K65,Reinigungstage!A10:I31,9,FALSE)</f>
        <v>34.6</v>
      </c>
      <c r="M65" s="38">
        <f t="shared" si="9"/>
        <v>14080.47</v>
      </c>
      <c r="N65" s="92">
        <f t="shared" si="10"/>
        <v>0</v>
      </c>
      <c r="O65" s="38">
        <f ca="1">IF('SVS UnterhaltsRG'!H61="",0,'SVS UnterhaltsRG'!H61)</f>
        <v>0</v>
      </c>
      <c r="P65" s="38">
        <f t="shared" si="11"/>
        <v>0</v>
      </c>
      <c r="Q65" s="38">
        <f t="shared" ca="1" si="12"/>
        <v>0</v>
      </c>
      <c r="R65" s="38">
        <f t="shared" si="13"/>
        <v>0</v>
      </c>
      <c r="S65" s="38">
        <f t="shared" ca="1" si="14"/>
        <v>0</v>
      </c>
      <c r="T65" s="16" t="str">
        <f t="shared" si="15"/>
        <v>Leistungswert eintragen</v>
      </c>
      <c r="U65" s="16">
        <f t="shared" si="16"/>
        <v>450</v>
      </c>
      <c r="V65" s="16">
        <f t="shared" si="17"/>
        <v>0</v>
      </c>
    </row>
    <row r="66" spans="1:22" ht="15" customHeight="1" x14ac:dyDescent="0.2">
      <c r="A66" s="78">
        <v>45</v>
      </c>
      <c r="B66" s="95">
        <v>1</v>
      </c>
      <c r="C66" s="89" t="s">
        <v>276</v>
      </c>
      <c r="D66" s="89" t="s">
        <v>364</v>
      </c>
      <c r="E66" s="89" t="s">
        <v>321</v>
      </c>
      <c r="F66" s="89" t="s">
        <v>227</v>
      </c>
      <c r="G66" s="90">
        <v>60.34</v>
      </c>
      <c r="H66" s="90"/>
      <c r="I66" s="90"/>
      <c r="J66" s="78" t="s">
        <v>313</v>
      </c>
      <c r="K66" s="90">
        <v>5</v>
      </c>
      <c r="L66" s="38">
        <f>VLOOKUP(K66,Reinigungstage!A10:I31,9,FALSE)</f>
        <v>57.66</v>
      </c>
      <c r="M66" s="38">
        <f t="shared" si="9"/>
        <v>3479.2</v>
      </c>
      <c r="N66" s="92">
        <f t="shared" si="10"/>
        <v>0</v>
      </c>
      <c r="O66" s="38">
        <f ca="1">IF('SVS UnterhaltsRG'!H61="",0,'SVS UnterhaltsRG'!H61)</f>
        <v>0</v>
      </c>
      <c r="P66" s="38">
        <f t="shared" si="11"/>
        <v>0</v>
      </c>
      <c r="Q66" s="38">
        <f t="shared" ca="1" si="12"/>
        <v>0</v>
      </c>
      <c r="R66" s="38">
        <f t="shared" si="13"/>
        <v>0</v>
      </c>
      <c r="S66" s="38">
        <f t="shared" ca="1" si="14"/>
        <v>0</v>
      </c>
      <c r="T66" s="16" t="str">
        <f t="shared" si="15"/>
        <v>Leistungswert eintragen</v>
      </c>
      <c r="U66" s="16">
        <f t="shared" si="16"/>
        <v>450</v>
      </c>
      <c r="V66" s="16">
        <f t="shared" si="17"/>
        <v>0</v>
      </c>
    </row>
    <row r="67" spans="1:22" ht="15" customHeight="1" x14ac:dyDescent="0.2">
      <c r="A67" s="78">
        <v>46</v>
      </c>
      <c r="B67" s="95">
        <v>2</v>
      </c>
      <c r="C67" s="89" t="s">
        <v>276</v>
      </c>
      <c r="D67" s="89" t="s">
        <v>364</v>
      </c>
      <c r="E67" s="89" t="s">
        <v>314</v>
      </c>
      <c r="F67" s="89" t="s">
        <v>229</v>
      </c>
      <c r="G67" s="90">
        <v>8</v>
      </c>
      <c r="H67" s="90"/>
      <c r="I67" s="90"/>
      <c r="J67" s="78" t="s">
        <v>314</v>
      </c>
      <c r="K67" s="90">
        <v>1</v>
      </c>
      <c r="L67" s="38">
        <f>VLOOKUP(K67,Reinigungstage!A10:I31,9,FALSE)</f>
        <v>11.98</v>
      </c>
      <c r="M67" s="38">
        <f t="shared" si="9"/>
        <v>95.84</v>
      </c>
      <c r="N67" s="92">
        <f t="shared" si="10"/>
        <v>0</v>
      </c>
      <c r="O67" s="38">
        <f ca="1">IF('SVS UnterhaltsRG'!H61="",0,'SVS UnterhaltsRG'!H61)</f>
        <v>0</v>
      </c>
      <c r="P67" s="38">
        <f t="shared" si="11"/>
        <v>0</v>
      </c>
      <c r="Q67" s="38">
        <f t="shared" ca="1" si="12"/>
        <v>0</v>
      </c>
      <c r="R67" s="38">
        <f t="shared" si="13"/>
        <v>0</v>
      </c>
      <c r="S67" s="38">
        <f t="shared" ca="1" si="14"/>
        <v>0</v>
      </c>
      <c r="T67" s="16" t="str">
        <f t="shared" si="15"/>
        <v>Leistungswert eintragen</v>
      </c>
      <c r="U67" s="16">
        <f t="shared" si="16"/>
        <v>195</v>
      </c>
      <c r="V67" s="16">
        <f t="shared" si="17"/>
        <v>0</v>
      </c>
    </row>
    <row r="68" spans="1:22" ht="15" customHeight="1" x14ac:dyDescent="0.2">
      <c r="A68" s="78">
        <v>47</v>
      </c>
      <c r="B68" s="95">
        <v>3</v>
      </c>
      <c r="C68" s="89" t="s">
        <v>276</v>
      </c>
      <c r="D68" s="89" t="s">
        <v>364</v>
      </c>
      <c r="E68" s="89" t="s">
        <v>314</v>
      </c>
      <c r="F68" s="89" t="s">
        <v>229</v>
      </c>
      <c r="G68" s="90">
        <v>8.35</v>
      </c>
      <c r="H68" s="90"/>
      <c r="I68" s="90"/>
      <c r="J68" s="78" t="s">
        <v>314</v>
      </c>
      <c r="K68" s="90">
        <v>1</v>
      </c>
      <c r="L68" s="38">
        <f>VLOOKUP(K68,Reinigungstage!A10:I31,9,FALSE)</f>
        <v>11.98</v>
      </c>
      <c r="M68" s="38">
        <f t="shared" ref="M68:M99" si="18">ROUND(IF(L68=0,0,L68*G68),2)</f>
        <v>100.03</v>
      </c>
      <c r="N68" s="92">
        <f t="shared" ref="N68:N102" si="19">VLOOKUP(J68,$G$4:$H$13,2,FALSE)</f>
        <v>0</v>
      </c>
      <c r="O68" s="38">
        <f ca="1">IF('SVS UnterhaltsRG'!H61="",0,'SVS UnterhaltsRG'!H61)</f>
        <v>0</v>
      </c>
      <c r="P68" s="38">
        <f t="shared" ref="P68:P102" si="20">ROUND(IF(N68=0,0,M68/N68),2)</f>
        <v>0</v>
      </c>
      <c r="Q68" s="38">
        <f t="shared" ref="Q68:Q99" ca="1" si="21">IF(M68=0,0,IF(O68="",0,ROUND(P68*O68,2)))</f>
        <v>0</v>
      </c>
      <c r="R68" s="38">
        <f t="shared" ref="R68:R102" si="22">ROUND(IF(P68=0,0,P68/L68),2)</f>
        <v>0</v>
      </c>
      <c r="S68" s="38">
        <f t="shared" ref="S68:S102" ca="1" si="23">ROUND(IF(Q68=0,0,Q68/L68),2)</f>
        <v>0</v>
      </c>
      <c r="T68" s="16" t="str">
        <f t="shared" ref="T68:T102" si="24">IF(M68=0,"",IF(N68=0,"Leistungswert eintragen",IF(O68=0,"SVS prüfen","")))</f>
        <v>Leistungswert eintragen</v>
      </c>
      <c r="U68" s="16">
        <f t="shared" ref="U68:U102" si="25">VLOOKUP(J68,$U$4:$V$13,2,FALSE)</f>
        <v>195</v>
      </c>
      <c r="V68" s="16">
        <f t="shared" ref="V68:V99" si="26">IF(M68=0,0,IF(U68&lt;N68,1,IF(U68&gt;=N68,0,"")))</f>
        <v>0</v>
      </c>
    </row>
    <row r="69" spans="1:22" ht="15" customHeight="1" x14ac:dyDescent="0.2">
      <c r="A69" s="78">
        <v>48</v>
      </c>
      <c r="B69" s="95">
        <v>4</v>
      </c>
      <c r="C69" s="89" t="s">
        <v>276</v>
      </c>
      <c r="D69" s="89" t="s">
        <v>364</v>
      </c>
      <c r="E69" s="89" t="s">
        <v>321</v>
      </c>
      <c r="F69" s="89" t="s">
        <v>229</v>
      </c>
      <c r="G69" s="90">
        <v>42.07</v>
      </c>
      <c r="H69" s="90"/>
      <c r="I69" s="90"/>
      <c r="J69" s="78" t="s">
        <v>313</v>
      </c>
      <c r="K69" s="90">
        <v>5</v>
      </c>
      <c r="L69" s="38">
        <f>VLOOKUP(K69,Reinigungstage!A10:I31,9,FALSE)</f>
        <v>57.66</v>
      </c>
      <c r="M69" s="38">
        <f t="shared" si="18"/>
        <v>2425.7600000000002</v>
      </c>
      <c r="N69" s="92">
        <f t="shared" si="19"/>
        <v>0</v>
      </c>
      <c r="O69" s="38">
        <f ca="1">IF('SVS UnterhaltsRG'!H61="",0,'SVS UnterhaltsRG'!H61)</f>
        <v>0</v>
      </c>
      <c r="P69" s="38">
        <f t="shared" si="20"/>
        <v>0</v>
      </c>
      <c r="Q69" s="38">
        <f t="shared" ca="1" si="21"/>
        <v>0</v>
      </c>
      <c r="R69" s="38">
        <f t="shared" si="22"/>
        <v>0</v>
      </c>
      <c r="S69" s="38">
        <f t="shared" ca="1" si="23"/>
        <v>0</v>
      </c>
      <c r="T69" s="16" t="str">
        <f t="shared" si="24"/>
        <v>Leistungswert eintragen</v>
      </c>
      <c r="U69" s="16">
        <f t="shared" si="25"/>
        <v>450</v>
      </c>
      <c r="V69" s="16">
        <f t="shared" si="26"/>
        <v>0</v>
      </c>
    </row>
    <row r="70" spans="1:22" ht="15" customHeight="1" x14ac:dyDescent="0.2">
      <c r="A70" s="78">
        <v>49</v>
      </c>
      <c r="B70" s="95">
        <v>5</v>
      </c>
      <c r="C70" s="89" t="s">
        <v>276</v>
      </c>
      <c r="D70" s="89" t="s">
        <v>364</v>
      </c>
      <c r="E70" s="89" t="s">
        <v>366</v>
      </c>
      <c r="F70" s="89" t="s">
        <v>227</v>
      </c>
      <c r="G70" s="90">
        <v>4.09</v>
      </c>
      <c r="H70" s="90"/>
      <c r="I70" s="90"/>
      <c r="J70" s="78" t="s">
        <v>312</v>
      </c>
      <c r="K70" s="90">
        <v>5</v>
      </c>
      <c r="L70" s="38">
        <f>VLOOKUP(K70,Reinigungstage!A10:I31,9,FALSE)</f>
        <v>57.66</v>
      </c>
      <c r="M70" s="38">
        <f t="shared" si="18"/>
        <v>235.83</v>
      </c>
      <c r="N70" s="92">
        <f t="shared" si="19"/>
        <v>0</v>
      </c>
      <c r="O70" s="38">
        <f ca="1">IF('SVS UnterhaltsRG'!H61="",0,'SVS UnterhaltsRG'!H61)</f>
        <v>0</v>
      </c>
      <c r="P70" s="38">
        <f t="shared" si="20"/>
        <v>0</v>
      </c>
      <c r="Q70" s="38">
        <f t="shared" ca="1" si="21"/>
        <v>0</v>
      </c>
      <c r="R70" s="38">
        <f t="shared" si="22"/>
        <v>0</v>
      </c>
      <c r="S70" s="38">
        <f t="shared" ca="1" si="23"/>
        <v>0</v>
      </c>
      <c r="T70" s="16" t="str">
        <f t="shared" si="24"/>
        <v>Leistungswert eintragen</v>
      </c>
      <c r="U70" s="16">
        <f t="shared" si="25"/>
        <v>75</v>
      </c>
      <c r="V70" s="16">
        <f t="shared" si="26"/>
        <v>0</v>
      </c>
    </row>
    <row r="71" spans="1:22" ht="15" customHeight="1" x14ac:dyDescent="0.2">
      <c r="A71" s="78">
        <v>50</v>
      </c>
      <c r="B71" s="95">
        <v>6</v>
      </c>
      <c r="C71" s="89" t="s">
        <v>276</v>
      </c>
      <c r="D71" s="89" t="s">
        <v>364</v>
      </c>
      <c r="E71" s="89" t="s">
        <v>235</v>
      </c>
      <c r="F71" s="89" t="s">
        <v>227</v>
      </c>
      <c r="G71" s="90">
        <v>8.1300000000000008</v>
      </c>
      <c r="H71" s="90"/>
      <c r="I71" s="90"/>
      <c r="J71" s="78" t="s">
        <v>312</v>
      </c>
      <c r="K71" s="90">
        <v>5</v>
      </c>
      <c r="L71" s="38">
        <f>VLOOKUP(K71,Reinigungstage!A10:I31,9,FALSE)</f>
        <v>57.66</v>
      </c>
      <c r="M71" s="38">
        <f t="shared" si="18"/>
        <v>468.78</v>
      </c>
      <c r="N71" s="92">
        <f t="shared" si="19"/>
        <v>0</v>
      </c>
      <c r="O71" s="38">
        <f ca="1">IF('SVS UnterhaltsRG'!H61="",0,'SVS UnterhaltsRG'!H61)</f>
        <v>0</v>
      </c>
      <c r="P71" s="38">
        <f t="shared" si="20"/>
        <v>0</v>
      </c>
      <c r="Q71" s="38">
        <f t="shared" ca="1" si="21"/>
        <v>0</v>
      </c>
      <c r="R71" s="38">
        <f t="shared" si="22"/>
        <v>0</v>
      </c>
      <c r="S71" s="38">
        <f t="shared" ca="1" si="23"/>
        <v>0</v>
      </c>
      <c r="T71" s="16" t="str">
        <f t="shared" si="24"/>
        <v>Leistungswert eintragen</v>
      </c>
      <c r="U71" s="16">
        <f t="shared" si="25"/>
        <v>75</v>
      </c>
      <c r="V71" s="16">
        <f t="shared" si="26"/>
        <v>0</v>
      </c>
    </row>
    <row r="72" spans="1:22" ht="15" customHeight="1" x14ac:dyDescent="0.2">
      <c r="A72" s="78">
        <v>51</v>
      </c>
      <c r="B72" s="95">
        <v>7</v>
      </c>
      <c r="C72" s="89" t="s">
        <v>276</v>
      </c>
      <c r="D72" s="89" t="s">
        <v>364</v>
      </c>
      <c r="E72" s="89" t="s">
        <v>367</v>
      </c>
      <c r="F72" s="89" t="s">
        <v>227</v>
      </c>
      <c r="G72" s="90">
        <v>3.4</v>
      </c>
      <c r="H72" s="90"/>
      <c r="I72" s="90"/>
      <c r="J72" s="78" t="s">
        <v>312</v>
      </c>
      <c r="K72" s="90">
        <v>5</v>
      </c>
      <c r="L72" s="38">
        <f>VLOOKUP(K72,Reinigungstage!A10:I31,9,FALSE)</f>
        <v>57.66</v>
      </c>
      <c r="M72" s="38">
        <f t="shared" si="18"/>
        <v>196.04</v>
      </c>
      <c r="N72" s="92">
        <f t="shared" si="19"/>
        <v>0</v>
      </c>
      <c r="O72" s="38">
        <f ca="1">IF('SVS UnterhaltsRG'!H61="",0,'SVS UnterhaltsRG'!H61)</f>
        <v>0</v>
      </c>
      <c r="P72" s="38">
        <f t="shared" si="20"/>
        <v>0</v>
      </c>
      <c r="Q72" s="38">
        <f t="shared" ca="1" si="21"/>
        <v>0</v>
      </c>
      <c r="R72" s="38">
        <f t="shared" si="22"/>
        <v>0</v>
      </c>
      <c r="S72" s="38">
        <f t="shared" ca="1" si="23"/>
        <v>0</v>
      </c>
      <c r="T72" s="16" t="str">
        <f t="shared" si="24"/>
        <v>Leistungswert eintragen</v>
      </c>
      <c r="U72" s="16">
        <f t="shared" si="25"/>
        <v>75</v>
      </c>
      <c r="V72" s="16">
        <f t="shared" si="26"/>
        <v>0</v>
      </c>
    </row>
    <row r="73" spans="1:22" ht="15" customHeight="1" x14ac:dyDescent="0.2">
      <c r="A73" s="78">
        <v>52</v>
      </c>
      <c r="B73" s="95">
        <v>8</v>
      </c>
      <c r="C73" s="89" t="s">
        <v>276</v>
      </c>
      <c r="D73" s="89" t="s">
        <v>364</v>
      </c>
      <c r="E73" s="89" t="s">
        <v>368</v>
      </c>
      <c r="F73" s="89" t="s">
        <v>227</v>
      </c>
      <c r="G73" s="90">
        <v>6.77</v>
      </c>
      <c r="H73" s="90"/>
      <c r="I73" s="90"/>
      <c r="J73" s="78" t="s">
        <v>312</v>
      </c>
      <c r="K73" s="90">
        <v>5</v>
      </c>
      <c r="L73" s="38">
        <f>VLOOKUP(K73,Reinigungstage!A10:I31,9,FALSE)</f>
        <v>57.66</v>
      </c>
      <c r="M73" s="38">
        <f t="shared" si="18"/>
        <v>390.36</v>
      </c>
      <c r="N73" s="92">
        <f t="shared" si="19"/>
        <v>0</v>
      </c>
      <c r="O73" s="38">
        <f ca="1">IF('SVS UnterhaltsRG'!H61="",0,'SVS UnterhaltsRG'!H61)</f>
        <v>0</v>
      </c>
      <c r="P73" s="38">
        <f t="shared" si="20"/>
        <v>0</v>
      </c>
      <c r="Q73" s="38">
        <f t="shared" ca="1" si="21"/>
        <v>0</v>
      </c>
      <c r="R73" s="38">
        <f t="shared" si="22"/>
        <v>0</v>
      </c>
      <c r="S73" s="38">
        <f t="shared" ca="1" si="23"/>
        <v>0</v>
      </c>
      <c r="T73" s="16" t="str">
        <f t="shared" si="24"/>
        <v>Leistungswert eintragen</v>
      </c>
      <c r="U73" s="16">
        <f t="shared" si="25"/>
        <v>75</v>
      </c>
      <c r="V73" s="16">
        <f t="shared" si="26"/>
        <v>0</v>
      </c>
    </row>
    <row r="74" spans="1:22" ht="15" customHeight="1" x14ac:dyDescent="0.2">
      <c r="A74" s="78">
        <v>53</v>
      </c>
      <c r="B74" s="95">
        <v>9</v>
      </c>
      <c r="C74" s="89" t="s">
        <v>276</v>
      </c>
      <c r="D74" s="89" t="s">
        <v>364</v>
      </c>
      <c r="E74" s="89" t="s">
        <v>237</v>
      </c>
      <c r="F74" s="89" t="s">
        <v>227</v>
      </c>
      <c r="G74" s="90">
        <v>9.06</v>
      </c>
      <c r="H74" s="90"/>
      <c r="I74" s="90"/>
      <c r="J74" s="78" t="s">
        <v>312</v>
      </c>
      <c r="K74" s="90">
        <v>5</v>
      </c>
      <c r="L74" s="38">
        <f>VLOOKUP(K74,Reinigungstage!A10:I31,9,FALSE)</f>
        <v>57.66</v>
      </c>
      <c r="M74" s="38">
        <f t="shared" si="18"/>
        <v>522.4</v>
      </c>
      <c r="N74" s="92">
        <f t="shared" si="19"/>
        <v>0</v>
      </c>
      <c r="O74" s="38">
        <f ca="1">IF('SVS UnterhaltsRG'!H61="",0,'SVS UnterhaltsRG'!H61)</f>
        <v>0</v>
      </c>
      <c r="P74" s="38">
        <f t="shared" si="20"/>
        <v>0</v>
      </c>
      <c r="Q74" s="38">
        <f t="shared" ca="1" si="21"/>
        <v>0</v>
      </c>
      <c r="R74" s="38">
        <f t="shared" si="22"/>
        <v>0</v>
      </c>
      <c r="S74" s="38">
        <f t="shared" ca="1" si="23"/>
        <v>0</v>
      </c>
      <c r="T74" s="16" t="str">
        <f t="shared" si="24"/>
        <v>Leistungswert eintragen</v>
      </c>
      <c r="U74" s="16">
        <f t="shared" si="25"/>
        <v>75</v>
      </c>
      <c r="V74" s="16">
        <f t="shared" si="26"/>
        <v>0</v>
      </c>
    </row>
    <row r="75" spans="1:22" ht="15" customHeight="1" x14ac:dyDescent="0.2">
      <c r="A75" s="78">
        <v>54</v>
      </c>
      <c r="B75" s="95">
        <v>10</v>
      </c>
      <c r="C75" s="89" t="s">
        <v>276</v>
      </c>
      <c r="D75" s="89" t="s">
        <v>364</v>
      </c>
      <c r="E75" s="89" t="s">
        <v>369</v>
      </c>
      <c r="F75" s="89" t="s">
        <v>229</v>
      </c>
      <c r="G75" s="90">
        <v>11.48</v>
      </c>
      <c r="H75" s="90"/>
      <c r="I75" s="90"/>
      <c r="J75" s="78" t="s">
        <v>315</v>
      </c>
      <c r="K75" s="90">
        <v>5</v>
      </c>
      <c r="L75" s="38">
        <f>VLOOKUP(K75,Reinigungstage!A10:I31,9,FALSE)</f>
        <v>57.66</v>
      </c>
      <c r="M75" s="38">
        <f t="shared" si="18"/>
        <v>661.94</v>
      </c>
      <c r="N75" s="92">
        <f t="shared" si="19"/>
        <v>0</v>
      </c>
      <c r="O75" s="38">
        <f ca="1">IF('SVS UnterhaltsRG'!H61="",0,'SVS UnterhaltsRG'!H61)</f>
        <v>0</v>
      </c>
      <c r="P75" s="38">
        <f t="shared" si="20"/>
        <v>0</v>
      </c>
      <c r="Q75" s="38">
        <f t="shared" ca="1" si="21"/>
        <v>0</v>
      </c>
      <c r="R75" s="38">
        <f t="shared" si="22"/>
        <v>0</v>
      </c>
      <c r="S75" s="38">
        <f t="shared" ca="1" si="23"/>
        <v>0</v>
      </c>
      <c r="T75" s="16" t="str">
        <f t="shared" si="24"/>
        <v>Leistungswert eintragen</v>
      </c>
      <c r="U75" s="16">
        <f t="shared" si="25"/>
        <v>115</v>
      </c>
      <c r="V75" s="16">
        <f t="shared" si="26"/>
        <v>0</v>
      </c>
    </row>
    <row r="76" spans="1:22" ht="15" customHeight="1" x14ac:dyDescent="0.2">
      <c r="A76" s="78">
        <v>55</v>
      </c>
      <c r="B76" s="95">
        <v>11</v>
      </c>
      <c r="C76" s="89" t="s">
        <v>276</v>
      </c>
      <c r="D76" s="89" t="s">
        <v>364</v>
      </c>
      <c r="E76" s="89" t="s">
        <v>341</v>
      </c>
      <c r="F76" s="89" t="s">
        <v>229</v>
      </c>
      <c r="G76" s="90">
        <v>5.04</v>
      </c>
      <c r="H76" s="90"/>
      <c r="I76" s="90"/>
      <c r="J76" s="78" t="s">
        <v>313</v>
      </c>
      <c r="K76" s="90">
        <v>5</v>
      </c>
      <c r="L76" s="38">
        <f>VLOOKUP(K76,Reinigungstage!A10:I31,9,FALSE)</f>
        <v>57.66</v>
      </c>
      <c r="M76" s="38">
        <f t="shared" si="18"/>
        <v>290.61</v>
      </c>
      <c r="N76" s="92">
        <f t="shared" si="19"/>
        <v>0</v>
      </c>
      <c r="O76" s="38">
        <f ca="1">IF('SVS UnterhaltsRG'!H61="",0,'SVS UnterhaltsRG'!H61)</f>
        <v>0</v>
      </c>
      <c r="P76" s="38">
        <f t="shared" si="20"/>
        <v>0</v>
      </c>
      <c r="Q76" s="38">
        <f t="shared" ca="1" si="21"/>
        <v>0</v>
      </c>
      <c r="R76" s="38">
        <f t="shared" si="22"/>
        <v>0</v>
      </c>
      <c r="S76" s="38">
        <f t="shared" ca="1" si="23"/>
        <v>0</v>
      </c>
      <c r="T76" s="16" t="str">
        <f t="shared" si="24"/>
        <v>Leistungswert eintragen</v>
      </c>
      <c r="U76" s="16">
        <f t="shared" si="25"/>
        <v>450</v>
      </c>
      <c r="V76" s="16">
        <f t="shared" si="26"/>
        <v>0</v>
      </c>
    </row>
    <row r="77" spans="1:22" ht="15" customHeight="1" x14ac:dyDescent="0.2">
      <c r="A77" s="78">
        <v>56</v>
      </c>
      <c r="B77" s="78" t="s">
        <v>370</v>
      </c>
      <c r="C77" s="89" t="s">
        <v>276</v>
      </c>
      <c r="D77" s="89" t="s">
        <v>364</v>
      </c>
      <c r="E77" s="89" t="s">
        <v>232</v>
      </c>
      <c r="F77" s="89" t="s">
        <v>229</v>
      </c>
      <c r="G77" s="90">
        <v>15.98</v>
      </c>
      <c r="H77" s="90"/>
      <c r="I77" s="90"/>
      <c r="J77" s="78" t="s">
        <v>311</v>
      </c>
      <c r="K77" s="90">
        <v>5</v>
      </c>
      <c r="L77" s="38">
        <f>VLOOKUP(K77,Reinigungstage!A10:I31,9,FALSE)</f>
        <v>57.66</v>
      </c>
      <c r="M77" s="38">
        <f t="shared" si="18"/>
        <v>921.41</v>
      </c>
      <c r="N77" s="92">
        <f t="shared" si="19"/>
        <v>0</v>
      </c>
      <c r="O77" s="38">
        <f ca="1">IF('SVS UnterhaltsRG'!H61="",0,'SVS UnterhaltsRG'!H61)</f>
        <v>0</v>
      </c>
      <c r="P77" s="38">
        <f t="shared" si="20"/>
        <v>0</v>
      </c>
      <c r="Q77" s="38">
        <f t="shared" ca="1" si="21"/>
        <v>0</v>
      </c>
      <c r="R77" s="38">
        <f t="shared" si="22"/>
        <v>0</v>
      </c>
      <c r="S77" s="38">
        <f t="shared" ca="1" si="23"/>
        <v>0</v>
      </c>
      <c r="T77" s="16" t="str">
        <f t="shared" si="24"/>
        <v>Leistungswert eintragen</v>
      </c>
      <c r="U77" s="16">
        <f t="shared" si="25"/>
        <v>170</v>
      </c>
      <c r="V77" s="16">
        <f t="shared" si="26"/>
        <v>0</v>
      </c>
    </row>
    <row r="78" spans="1:22" ht="15" customHeight="1" x14ac:dyDescent="0.2">
      <c r="A78" s="78">
        <v>57</v>
      </c>
      <c r="B78" s="95">
        <v>12</v>
      </c>
      <c r="C78" s="89" t="s">
        <v>276</v>
      </c>
      <c r="D78" s="89" t="s">
        <v>364</v>
      </c>
      <c r="E78" s="89" t="s">
        <v>232</v>
      </c>
      <c r="F78" s="89" t="s">
        <v>229</v>
      </c>
      <c r="G78" s="90">
        <v>42.87</v>
      </c>
      <c r="H78" s="90"/>
      <c r="I78" s="90"/>
      <c r="J78" s="78" t="s">
        <v>311</v>
      </c>
      <c r="K78" s="90">
        <v>5</v>
      </c>
      <c r="L78" s="38">
        <f>VLOOKUP(K78,Reinigungstage!A10:I31,9,FALSE)</f>
        <v>57.66</v>
      </c>
      <c r="M78" s="38">
        <f t="shared" si="18"/>
        <v>2471.88</v>
      </c>
      <c r="N78" s="92">
        <f t="shared" si="19"/>
        <v>0</v>
      </c>
      <c r="O78" s="38">
        <f ca="1">IF('SVS UnterhaltsRG'!H61="",0,'SVS UnterhaltsRG'!H61)</f>
        <v>0</v>
      </c>
      <c r="P78" s="38">
        <f t="shared" si="20"/>
        <v>0</v>
      </c>
      <c r="Q78" s="38">
        <f t="shared" ca="1" si="21"/>
        <v>0</v>
      </c>
      <c r="R78" s="38">
        <f t="shared" si="22"/>
        <v>0</v>
      </c>
      <c r="S78" s="38">
        <f t="shared" ca="1" si="23"/>
        <v>0</v>
      </c>
      <c r="T78" s="16" t="str">
        <f t="shared" si="24"/>
        <v>Leistungswert eintragen</v>
      </c>
      <c r="U78" s="16">
        <f t="shared" si="25"/>
        <v>170</v>
      </c>
      <c r="V78" s="16">
        <f t="shared" si="26"/>
        <v>0</v>
      </c>
    </row>
    <row r="79" spans="1:22" ht="15" customHeight="1" x14ac:dyDescent="0.2">
      <c r="A79" s="78">
        <v>58</v>
      </c>
      <c r="B79" s="95">
        <v>13</v>
      </c>
      <c r="C79" s="89" t="s">
        <v>276</v>
      </c>
      <c r="D79" s="89" t="s">
        <v>364</v>
      </c>
      <c r="E79" s="89" t="s">
        <v>232</v>
      </c>
      <c r="F79" s="89" t="s">
        <v>229</v>
      </c>
      <c r="G79" s="90">
        <v>42.86</v>
      </c>
      <c r="H79" s="90"/>
      <c r="I79" s="90"/>
      <c r="J79" s="78" t="s">
        <v>311</v>
      </c>
      <c r="K79" s="90">
        <v>5</v>
      </c>
      <c r="L79" s="38">
        <f>VLOOKUP(K79,Reinigungstage!A10:I31,9,FALSE)</f>
        <v>57.66</v>
      </c>
      <c r="M79" s="38">
        <f t="shared" si="18"/>
        <v>2471.31</v>
      </c>
      <c r="N79" s="92">
        <f t="shared" si="19"/>
        <v>0</v>
      </c>
      <c r="O79" s="38">
        <f ca="1">IF('SVS UnterhaltsRG'!H61="",0,'SVS UnterhaltsRG'!H61)</f>
        <v>0</v>
      </c>
      <c r="P79" s="38">
        <f t="shared" si="20"/>
        <v>0</v>
      </c>
      <c r="Q79" s="38">
        <f t="shared" ca="1" si="21"/>
        <v>0</v>
      </c>
      <c r="R79" s="38">
        <f t="shared" si="22"/>
        <v>0</v>
      </c>
      <c r="S79" s="38">
        <f t="shared" ca="1" si="23"/>
        <v>0</v>
      </c>
      <c r="T79" s="16" t="str">
        <f t="shared" si="24"/>
        <v>Leistungswert eintragen</v>
      </c>
      <c r="U79" s="16">
        <f t="shared" si="25"/>
        <v>170</v>
      </c>
      <c r="V79" s="16">
        <f t="shared" si="26"/>
        <v>0</v>
      </c>
    </row>
    <row r="80" spans="1:22" ht="15" customHeight="1" x14ac:dyDescent="0.2">
      <c r="A80" s="78">
        <v>59</v>
      </c>
      <c r="B80" s="78" t="s">
        <v>371</v>
      </c>
      <c r="C80" s="89" t="s">
        <v>276</v>
      </c>
      <c r="D80" s="89" t="s">
        <v>364</v>
      </c>
      <c r="E80" s="89" t="s">
        <v>232</v>
      </c>
      <c r="F80" s="89" t="s">
        <v>229</v>
      </c>
      <c r="G80" s="90">
        <v>15.99</v>
      </c>
      <c r="H80" s="90"/>
      <c r="I80" s="90"/>
      <c r="J80" s="78" t="s">
        <v>311</v>
      </c>
      <c r="K80" s="90">
        <v>5</v>
      </c>
      <c r="L80" s="38">
        <f>VLOOKUP(K80,Reinigungstage!A10:I31,9,FALSE)</f>
        <v>57.66</v>
      </c>
      <c r="M80" s="38">
        <f t="shared" si="18"/>
        <v>921.98</v>
      </c>
      <c r="N80" s="92">
        <f t="shared" si="19"/>
        <v>0</v>
      </c>
      <c r="O80" s="38">
        <f ca="1">IF('SVS UnterhaltsRG'!H61="",0,'SVS UnterhaltsRG'!H61)</f>
        <v>0</v>
      </c>
      <c r="P80" s="38">
        <f t="shared" si="20"/>
        <v>0</v>
      </c>
      <c r="Q80" s="38">
        <f t="shared" ca="1" si="21"/>
        <v>0</v>
      </c>
      <c r="R80" s="38">
        <f t="shared" si="22"/>
        <v>0</v>
      </c>
      <c r="S80" s="38">
        <f t="shared" ca="1" si="23"/>
        <v>0</v>
      </c>
      <c r="T80" s="16" t="str">
        <f t="shared" si="24"/>
        <v>Leistungswert eintragen</v>
      </c>
      <c r="U80" s="16">
        <f t="shared" si="25"/>
        <v>170</v>
      </c>
      <c r="V80" s="16">
        <f t="shared" si="26"/>
        <v>0</v>
      </c>
    </row>
    <row r="81" spans="1:22" ht="15" customHeight="1" x14ac:dyDescent="0.2">
      <c r="A81" s="78">
        <v>60</v>
      </c>
      <c r="B81" s="95">
        <v>14</v>
      </c>
      <c r="C81" s="89" t="s">
        <v>276</v>
      </c>
      <c r="D81" s="89" t="s">
        <v>364</v>
      </c>
      <c r="E81" s="89" t="s">
        <v>341</v>
      </c>
      <c r="F81" s="89" t="s">
        <v>229</v>
      </c>
      <c r="G81" s="90">
        <v>4.7</v>
      </c>
      <c r="H81" s="90"/>
      <c r="I81" s="90"/>
      <c r="J81" s="78" t="s">
        <v>313</v>
      </c>
      <c r="K81" s="90">
        <v>5</v>
      </c>
      <c r="L81" s="38">
        <f>VLOOKUP(K81,Reinigungstage!A10:I31,9,FALSE)</f>
        <v>57.66</v>
      </c>
      <c r="M81" s="38">
        <f t="shared" si="18"/>
        <v>271</v>
      </c>
      <c r="N81" s="92">
        <f t="shared" si="19"/>
        <v>0</v>
      </c>
      <c r="O81" s="38">
        <f ca="1">IF('SVS UnterhaltsRG'!H61="",0,'SVS UnterhaltsRG'!H61)</f>
        <v>0</v>
      </c>
      <c r="P81" s="38">
        <f t="shared" si="20"/>
        <v>0</v>
      </c>
      <c r="Q81" s="38">
        <f t="shared" ca="1" si="21"/>
        <v>0</v>
      </c>
      <c r="R81" s="38">
        <f t="shared" si="22"/>
        <v>0</v>
      </c>
      <c r="S81" s="38">
        <f t="shared" ca="1" si="23"/>
        <v>0</v>
      </c>
      <c r="T81" s="16" t="str">
        <f t="shared" si="24"/>
        <v>Leistungswert eintragen</v>
      </c>
      <c r="U81" s="16">
        <f t="shared" si="25"/>
        <v>450</v>
      </c>
      <c r="V81" s="16">
        <f t="shared" si="26"/>
        <v>0</v>
      </c>
    </row>
    <row r="82" spans="1:22" ht="15" customHeight="1" x14ac:dyDescent="0.2">
      <c r="A82" s="78">
        <v>61</v>
      </c>
      <c r="B82" s="95">
        <v>15</v>
      </c>
      <c r="C82" s="89" t="s">
        <v>276</v>
      </c>
      <c r="D82" s="89" t="s">
        <v>364</v>
      </c>
      <c r="E82" s="89" t="s">
        <v>232</v>
      </c>
      <c r="F82" s="89" t="s">
        <v>229</v>
      </c>
      <c r="G82" s="90">
        <v>42.75</v>
      </c>
      <c r="H82" s="90"/>
      <c r="I82" s="90"/>
      <c r="J82" s="78" t="s">
        <v>311</v>
      </c>
      <c r="K82" s="90">
        <v>5</v>
      </c>
      <c r="L82" s="38">
        <f>VLOOKUP(K82,Reinigungstage!A10:I31,9,FALSE)</f>
        <v>57.66</v>
      </c>
      <c r="M82" s="38">
        <f t="shared" si="18"/>
        <v>2464.9699999999998</v>
      </c>
      <c r="N82" s="92">
        <f t="shared" si="19"/>
        <v>0</v>
      </c>
      <c r="O82" s="38">
        <f ca="1">IF('SVS UnterhaltsRG'!H61="",0,'SVS UnterhaltsRG'!H61)</f>
        <v>0</v>
      </c>
      <c r="P82" s="38">
        <f t="shared" si="20"/>
        <v>0</v>
      </c>
      <c r="Q82" s="38">
        <f t="shared" ca="1" si="21"/>
        <v>0</v>
      </c>
      <c r="R82" s="38">
        <f t="shared" si="22"/>
        <v>0</v>
      </c>
      <c r="S82" s="38">
        <f t="shared" ca="1" si="23"/>
        <v>0</v>
      </c>
      <c r="T82" s="16" t="str">
        <f t="shared" si="24"/>
        <v>Leistungswert eintragen</v>
      </c>
      <c r="U82" s="16">
        <f t="shared" si="25"/>
        <v>170</v>
      </c>
      <c r="V82" s="16">
        <f t="shared" si="26"/>
        <v>0</v>
      </c>
    </row>
    <row r="83" spans="1:22" ht="15" customHeight="1" x14ac:dyDescent="0.2">
      <c r="A83" s="78">
        <v>62</v>
      </c>
      <c r="B83" s="78" t="s">
        <v>372</v>
      </c>
      <c r="C83" s="89" t="s">
        <v>276</v>
      </c>
      <c r="D83" s="89" t="s">
        <v>364</v>
      </c>
      <c r="E83" s="89" t="s">
        <v>232</v>
      </c>
      <c r="F83" s="89" t="s">
        <v>229</v>
      </c>
      <c r="G83" s="90">
        <v>15.97</v>
      </c>
      <c r="H83" s="90"/>
      <c r="I83" s="90"/>
      <c r="J83" s="78" t="s">
        <v>311</v>
      </c>
      <c r="K83" s="90">
        <v>5</v>
      </c>
      <c r="L83" s="38">
        <f>VLOOKUP(K83,Reinigungstage!A10:I31,9,FALSE)</f>
        <v>57.66</v>
      </c>
      <c r="M83" s="38">
        <f t="shared" si="18"/>
        <v>920.83</v>
      </c>
      <c r="N83" s="92">
        <f t="shared" si="19"/>
        <v>0</v>
      </c>
      <c r="O83" s="38">
        <f ca="1">IF('SVS UnterhaltsRG'!H61="",0,'SVS UnterhaltsRG'!H61)</f>
        <v>0</v>
      </c>
      <c r="P83" s="38">
        <f t="shared" si="20"/>
        <v>0</v>
      </c>
      <c r="Q83" s="38">
        <f t="shared" ca="1" si="21"/>
        <v>0</v>
      </c>
      <c r="R83" s="38">
        <f t="shared" si="22"/>
        <v>0</v>
      </c>
      <c r="S83" s="38">
        <f t="shared" ca="1" si="23"/>
        <v>0</v>
      </c>
      <c r="T83" s="16" t="str">
        <f t="shared" si="24"/>
        <v>Leistungswert eintragen</v>
      </c>
      <c r="U83" s="16">
        <f t="shared" si="25"/>
        <v>170</v>
      </c>
      <c r="V83" s="16">
        <f t="shared" si="26"/>
        <v>0</v>
      </c>
    </row>
    <row r="84" spans="1:22" ht="15" customHeight="1" x14ac:dyDescent="0.2">
      <c r="A84" s="78">
        <v>63</v>
      </c>
      <c r="B84" s="95">
        <v>16</v>
      </c>
      <c r="C84" s="89" t="s">
        <v>276</v>
      </c>
      <c r="D84" s="89" t="s">
        <v>364</v>
      </c>
      <c r="E84" s="89" t="s">
        <v>341</v>
      </c>
      <c r="F84" s="89" t="s">
        <v>229</v>
      </c>
      <c r="G84" s="90">
        <v>5.07</v>
      </c>
      <c r="H84" s="90"/>
      <c r="I84" s="90"/>
      <c r="J84" s="78" t="s">
        <v>313</v>
      </c>
      <c r="K84" s="90">
        <v>5</v>
      </c>
      <c r="L84" s="38">
        <f>VLOOKUP(K84,Reinigungstage!A10:I31,9,FALSE)</f>
        <v>57.66</v>
      </c>
      <c r="M84" s="38">
        <f t="shared" si="18"/>
        <v>292.33999999999997</v>
      </c>
      <c r="N84" s="92">
        <f t="shared" si="19"/>
        <v>0</v>
      </c>
      <c r="O84" s="38">
        <f ca="1">IF('SVS UnterhaltsRG'!H61="",0,'SVS UnterhaltsRG'!H61)</f>
        <v>0</v>
      </c>
      <c r="P84" s="38">
        <f t="shared" si="20"/>
        <v>0</v>
      </c>
      <c r="Q84" s="38">
        <f t="shared" ca="1" si="21"/>
        <v>0</v>
      </c>
      <c r="R84" s="38">
        <f t="shared" si="22"/>
        <v>0</v>
      </c>
      <c r="S84" s="38">
        <f t="shared" ca="1" si="23"/>
        <v>0</v>
      </c>
      <c r="T84" s="16" t="str">
        <f t="shared" si="24"/>
        <v>Leistungswert eintragen</v>
      </c>
      <c r="U84" s="16">
        <f t="shared" si="25"/>
        <v>450</v>
      </c>
      <c r="V84" s="16">
        <f t="shared" si="26"/>
        <v>0</v>
      </c>
    </row>
    <row r="85" spans="1:22" ht="15" customHeight="1" x14ac:dyDescent="0.2">
      <c r="A85" s="78">
        <v>64</v>
      </c>
      <c r="B85" s="88">
        <v>101</v>
      </c>
      <c r="C85" s="89" t="s">
        <v>348</v>
      </c>
      <c r="D85" s="89" t="s">
        <v>364</v>
      </c>
      <c r="E85" s="89" t="s">
        <v>277</v>
      </c>
      <c r="F85" s="89" t="s">
        <v>227</v>
      </c>
      <c r="G85" s="90">
        <v>26.18</v>
      </c>
      <c r="H85" s="90"/>
      <c r="I85" s="90"/>
      <c r="J85" s="78" t="s">
        <v>313</v>
      </c>
      <c r="K85" s="90">
        <v>5</v>
      </c>
      <c r="L85" s="38">
        <f>VLOOKUP(K85,Reinigungstage!A10:I31,9,FALSE)</f>
        <v>57.66</v>
      </c>
      <c r="M85" s="38">
        <f t="shared" si="18"/>
        <v>1509.54</v>
      </c>
      <c r="N85" s="92">
        <f t="shared" si="19"/>
        <v>0</v>
      </c>
      <c r="O85" s="38">
        <f ca="1">IF('SVS UnterhaltsRG'!H61="",0,'SVS UnterhaltsRG'!H61)</f>
        <v>0</v>
      </c>
      <c r="P85" s="38">
        <f t="shared" si="20"/>
        <v>0</v>
      </c>
      <c r="Q85" s="38">
        <f t="shared" ca="1" si="21"/>
        <v>0</v>
      </c>
      <c r="R85" s="38">
        <f t="shared" si="22"/>
        <v>0</v>
      </c>
      <c r="S85" s="38">
        <f t="shared" ca="1" si="23"/>
        <v>0</v>
      </c>
      <c r="T85" s="16" t="str">
        <f t="shared" si="24"/>
        <v>Leistungswert eintragen</v>
      </c>
      <c r="U85" s="16">
        <f t="shared" si="25"/>
        <v>450</v>
      </c>
      <c r="V85" s="16">
        <f t="shared" si="26"/>
        <v>0</v>
      </c>
    </row>
    <row r="86" spans="1:22" ht="15" customHeight="1" x14ac:dyDescent="0.2">
      <c r="A86" s="78">
        <v>65</v>
      </c>
      <c r="B86" s="88">
        <v>102</v>
      </c>
      <c r="C86" s="89" t="s">
        <v>348</v>
      </c>
      <c r="D86" s="89" t="s">
        <v>364</v>
      </c>
      <c r="E86" s="89" t="s">
        <v>321</v>
      </c>
      <c r="F86" s="89" t="s">
        <v>229</v>
      </c>
      <c r="G86" s="90">
        <v>38.78</v>
      </c>
      <c r="H86" s="90"/>
      <c r="I86" s="90"/>
      <c r="J86" s="78" t="s">
        <v>313</v>
      </c>
      <c r="K86" s="90">
        <v>5</v>
      </c>
      <c r="L86" s="38">
        <f>VLOOKUP(K86,Reinigungstage!A10:I31,9,FALSE)</f>
        <v>57.66</v>
      </c>
      <c r="M86" s="38">
        <f t="shared" si="18"/>
        <v>2236.0500000000002</v>
      </c>
      <c r="N86" s="92">
        <f t="shared" si="19"/>
        <v>0</v>
      </c>
      <c r="O86" s="38">
        <f ca="1">IF('SVS UnterhaltsRG'!H61="",0,'SVS UnterhaltsRG'!H61)</f>
        <v>0</v>
      </c>
      <c r="P86" s="38">
        <f t="shared" si="20"/>
        <v>0</v>
      </c>
      <c r="Q86" s="38">
        <f t="shared" ca="1" si="21"/>
        <v>0</v>
      </c>
      <c r="R86" s="38">
        <f t="shared" si="22"/>
        <v>0</v>
      </c>
      <c r="S86" s="38">
        <f t="shared" ca="1" si="23"/>
        <v>0</v>
      </c>
      <c r="T86" s="16" t="str">
        <f t="shared" si="24"/>
        <v>Leistungswert eintragen</v>
      </c>
      <c r="U86" s="16">
        <f t="shared" si="25"/>
        <v>450</v>
      </c>
      <c r="V86" s="16">
        <f t="shared" si="26"/>
        <v>0</v>
      </c>
    </row>
    <row r="87" spans="1:22" ht="15" customHeight="1" x14ac:dyDescent="0.2">
      <c r="A87" s="78">
        <v>66</v>
      </c>
      <c r="B87" s="88">
        <v>103</v>
      </c>
      <c r="C87" s="89" t="s">
        <v>348</v>
      </c>
      <c r="D87" s="89" t="s">
        <v>364</v>
      </c>
      <c r="E87" s="89" t="s">
        <v>314</v>
      </c>
      <c r="F87" s="89" t="s">
        <v>229</v>
      </c>
      <c r="G87" s="90">
        <v>8</v>
      </c>
      <c r="H87" s="90"/>
      <c r="I87" s="90"/>
      <c r="J87" s="78" t="s">
        <v>314</v>
      </c>
      <c r="K87" s="90">
        <v>1</v>
      </c>
      <c r="L87" s="38">
        <f>VLOOKUP(K87,Reinigungstage!A10:I31,9,FALSE)</f>
        <v>11.98</v>
      </c>
      <c r="M87" s="38">
        <f t="shared" si="18"/>
        <v>95.84</v>
      </c>
      <c r="N87" s="92">
        <f t="shared" si="19"/>
        <v>0</v>
      </c>
      <c r="O87" s="38">
        <f ca="1">IF('SVS UnterhaltsRG'!H61="",0,'SVS UnterhaltsRG'!H61)</f>
        <v>0</v>
      </c>
      <c r="P87" s="38">
        <f t="shared" si="20"/>
        <v>0</v>
      </c>
      <c r="Q87" s="38">
        <f t="shared" ca="1" si="21"/>
        <v>0</v>
      </c>
      <c r="R87" s="38">
        <f t="shared" si="22"/>
        <v>0</v>
      </c>
      <c r="S87" s="38">
        <f t="shared" ca="1" si="23"/>
        <v>0</v>
      </c>
      <c r="T87" s="16" t="str">
        <f t="shared" si="24"/>
        <v>Leistungswert eintragen</v>
      </c>
      <c r="U87" s="16">
        <f t="shared" si="25"/>
        <v>195</v>
      </c>
      <c r="V87" s="16">
        <f t="shared" si="26"/>
        <v>0</v>
      </c>
    </row>
    <row r="88" spans="1:22" ht="15" customHeight="1" x14ac:dyDescent="0.2">
      <c r="A88" s="78">
        <v>67</v>
      </c>
      <c r="B88" s="88">
        <v>104</v>
      </c>
      <c r="C88" s="89" t="s">
        <v>348</v>
      </c>
      <c r="D88" s="89" t="s">
        <v>364</v>
      </c>
      <c r="E88" s="89" t="s">
        <v>235</v>
      </c>
      <c r="F88" s="89" t="s">
        <v>227</v>
      </c>
      <c r="G88" s="90">
        <v>8.1300000000000008</v>
      </c>
      <c r="H88" s="90"/>
      <c r="I88" s="90"/>
      <c r="J88" s="78" t="s">
        <v>312</v>
      </c>
      <c r="K88" s="90">
        <v>5</v>
      </c>
      <c r="L88" s="38">
        <f>VLOOKUP(K88,Reinigungstage!A10:I31,9,FALSE)</f>
        <v>57.66</v>
      </c>
      <c r="M88" s="38">
        <f t="shared" si="18"/>
        <v>468.78</v>
      </c>
      <c r="N88" s="92">
        <f t="shared" si="19"/>
        <v>0</v>
      </c>
      <c r="O88" s="38">
        <f ca="1">IF('SVS UnterhaltsRG'!H61="",0,'SVS UnterhaltsRG'!H61)</f>
        <v>0</v>
      </c>
      <c r="P88" s="38">
        <f t="shared" si="20"/>
        <v>0</v>
      </c>
      <c r="Q88" s="38">
        <f t="shared" ca="1" si="21"/>
        <v>0</v>
      </c>
      <c r="R88" s="38">
        <f t="shared" si="22"/>
        <v>0</v>
      </c>
      <c r="S88" s="38">
        <f t="shared" ca="1" si="23"/>
        <v>0</v>
      </c>
      <c r="T88" s="16" t="str">
        <f t="shared" si="24"/>
        <v>Leistungswert eintragen</v>
      </c>
      <c r="U88" s="16">
        <f t="shared" si="25"/>
        <v>75</v>
      </c>
      <c r="V88" s="16">
        <f t="shared" si="26"/>
        <v>0</v>
      </c>
    </row>
    <row r="89" spans="1:22" ht="15" customHeight="1" x14ac:dyDescent="0.2">
      <c r="A89" s="78">
        <v>68</v>
      </c>
      <c r="B89" s="88">
        <v>105</v>
      </c>
      <c r="C89" s="89" t="s">
        <v>348</v>
      </c>
      <c r="D89" s="89" t="s">
        <v>364</v>
      </c>
      <c r="E89" s="89" t="s">
        <v>366</v>
      </c>
      <c r="F89" s="89" t="s">
        <v>227</v>
      </c>
      <c r="G89" s="90">
        <v>4.0999999999999996</v>
      </c>
      <c r="H89" s="90"/>
      <c r="I89" s="90"/>
      <c r="J89" s="78" t="s">
        <v>312</v>
      </c>
      <c r="K89" s="90">
        <v>5</v>
      </c>
      <c r="L89" s="38">
        <f>VLOOKUP(K89,Reinigungstage!A10:I31,9,FALSE)</f>
        <v>57.66</v>
      </c>
      <c r="M89" s="38">
        <f t="shared" si="18"/>
        <v>236.41</v>
      </c>
      <c r="N89" s="92">
        <f t="shared" si="19"/>
        <v>0</v>
      </c>
      <c r="O89" s="38">
        <f ca="1">IF('SVS UnterhaltsRG'!H61="",0,'SVS UnterhaltsRG'!H61)</f>
        <v>0</v>
      </c>
      <c r="P89" s="38">
        <f t="shared" si="20"/>
        <v>0</v>
      </c>
      <c r="Q89" s="38">
        <f t="shared" ca="1" si="21"/>
        <v>0</v>
      </c>
      <c r="R89" s="38">
        <f t="shared" si="22"/>
        <v>0</v>
      </c>
      <c r="S89" s="38">
        <f t="shared" ca="1" si="23"/>
        <v>0</v>
      </c>
      <c r="T89" s="16" t="str">
        <f t="shared" si="24"/>
        <v>Leistungswert eintragen</v>
      </c>
      <c r="U89" s="16">
        <f t="shared" si="25"/>
        <v>75</v>
      </c>
      <c r="V89" s="16">
        <f t="shared" si="26"/>
        <v>0</v>
      </c>
    </row>
    <row r="90" spans="1:22" ht="15" customHeight="1" x14ac:dyDescent="0.2">
      <c r="A90" s="78">
        <v>69</v>
      </c>
      <c r="B90" s="88">
        <v>106</v>
      </c>
      <c r="C90" s="89" t="s">
        <v>348</v>
      </c>
      <c r="D90" s="89" t="s">
        <v>364</v>
      </c>
      <c r="E90" s="89" t="s">
        <v>335</v>
      </c>
      <c r="F90" s="89" t="s">
        <v>229</v>
      </c>
      <c r="G90" s="90">
        <v>3.47</v>
      </c>
      <c r="H90" s="90"/>
      <c r="I90" s="90"/>
      <c r="J90" s="78" t="s">
        <v>313</v>
      </c>
      <c r="K90" s="90">
        <v>5</v>
      </c>
      <c r="L90" s="38">
        <f>VLOOKUP(K90,Reinigungstage!A10:I31,9,FALSE)</f>
        <v>57.66</v>
      </c>
      <c r="M90" s="38">
        <f t="shared" si="18"/>
        <v>200.08</v>
      </c>
      <c r="N90" s="92">
        <f t="shared" si="19"/>
        <v>0</v>
      </c>
      <c r="O90" s="38">
        <f ca="1">IF('SVS UnterhaltsRG'!H61="",0,'SVS UnterhaltsRG'!H61)</f>
        <v>0</v>
      </c>
      <c r="P90" s="38">
        <f t="shared" si="20"/>
        <v>0</v>
      </c>
      <c r="Q90" s="38">
        <f t="shared" ca="1" si="21"/>
        <v>0</v>
      </c>
      <c r="R90" s="38">
        <f t="shared" si="22"/>
        <v>0</v>
      </c>
      <c r="S90" s="38">
        <f t="shared" ca="1" si="23"/>
        <v>0</v>
      </c>
      <c r="T90" s="16" t="str">
        <f t="shared" si="24"/>
        <v>Leistungswert eintragen</v>
      </c>
      <c r="U90" s="16">
        <f t="shared" si="25"/>
        <v>450</v>
      </c>
      <c r="V90" s="16">
        <f t="shared" si="26"/>
        <v>0</v>
      </c>
    </row>
    <row r="91" spans="1:22" ht="15" customHeight="1" x14ac:dyDescent="0.2">
      <c r="A91" s="78">
        <v>70</v>
      </c>
      <c r="B91" s="88">
        <v>107</v>
      </c>
      <c r="C91" s="89" t="s">
        <v>348</v>
      </c>
      <c r="D91" s="89" t="s">
        <v>364</v>
      </c>
      <c r="E91" s="89" t="s">
        <v>373</v>
      </c>
      <c r="F91" s="89" t="s">
        <v>229</v>
      </c>
      <c r="G91" s="90">
        <v>8.35</v>
      </c>
      <c r="H91" s="90"/>
      <c r="I91" s="90"/>
      <c r="J91" s="78" t="s">
        <v>309</v>
      </c>
      <c r="K91" s="90">
        <v>1</v>
      </c>
      <c r="L91" s="38">
        <f>VLOOKUP(K91,Reinigungstage!A10:I31,9,FALSE)</f>
        <v>11.98</v>
      </c>
      <c r="M91" s="38">
        <f t="shared" si="18"/>
        <v>100.03</v>
      </c>
      <c r="N91" s="92">
        <f t="shared" si="19"/>
        <v>0</v>
      </c>
      <c r="O91" s="38">
        <f ca="1">IF('SVS UnterhaltsRG'!H61="",0,'SVS UnterhaltsRG'!H61)</f>
        <v>0</v>
      </c>
      <c r="P91" s="38">
        <f t="shared" si="20"/>
        <v>0</v>
      </c>
      <c r="Q91" s="38">
        <f t="shared" ca="1" si="21"/>
        <v>0</v>
      </c>
      <c r="R91" s="38">
        <f t="shared" si="22"/>
        <v>0</v>
      </c>
      <c r="S91" s="38">
        <f t="shared" ca="1" si="23"/>
        <v>0</v>
      </c>
      <c r="T91" s="16" t="str">
        <f t="shared" si="24"/>
        <v>Leistungswert eintragen</v>
      </c>
      <c r="U91" s="16">
        <f t="shared" si="25"/>
        <v>215</v>
      </c>
      <c r="V91" s="16">
        <f t="shared" si="26"/>
        <v>0</v>
      </c>
    </row>
    <row r="92" spans="1:22" ht="15" customHeight="1" x14ac:dyDescent="0.2">
      <c r="A92" s="78">
        <v>71</v>
      </c>
      <c r="B92" s="88">
        <v>108</v>
      </c>
      <c r="C92" s="89" t="s">
        <v>348</v>
      </c>
      <c r="D92" s="89" t="s">
        <v>364</v>
      </c>
      <c r="E92" s="89" t="s">
        <v>374</v>
      </c>
      <c r="F92" s="89" t="s">
        <v>227</v>
      </c>
      <c r="G92" s="90">
        <v>3.26</v>
      </c>
      <c r="H92" s="90"/>
      <c r="I92" s="90"/>
      <c r="J92" s="78" t="s">
        <v>312</v>
      </c>
      <c r="K92" s="90">
        <v>5</v>
      </c>
      <c r="L92" s="38">
        <f>VLOOKUP(K92,Reinigungstage!A10:I31,9,FALSE)</f>
        <v>57.66</v>
      </c>
      <c r="M92" s="38">
        <f t="shared" si="18"/>
        <v>187.97</v>
      </c>
      <c r="N92" s="92">
        <f t="shared" si="19"/>
        <v>0</v>
      </c>
      <c r="O92" s="38">
        <f ca="1">IF('SVS UnterhaltsRG'!H61="",0,'SVS UnterhaltsRG'!H61)</f>
        <v>0</v>
      </c>
      <c r="P92" s="38">
        <f t="shared" si="20"/>
        <v>0</v>
      </c>
      <c r="Q92" s="38">
        <f t="shared" ca="1" si="21"/>
        <v>0</v>
      </c>
      <c r="R92" s="38">
        <f t="shared" si="22"/>
        <v>0</v>
      </c>
      <c r="S92" s="38">
        <f t="shared" ca="1" si="23"/>
        <v>0</v>
      </c>
      <c r="T92" s="16" t="str">
        <f t="shared" si="24"/>
        <v>Leistungswert eintragen</v>
      </c>
      <c r="U92" s="16">
        <f t="shared" si="25"/>
        <v>75</v>
      </c>
      <c r="V92" s="16">
        <f t="shared" si="26"/>
        <v>0</v>
      </c>
    </row>
    <row r="93" spans="1:22" ht="15" customHeight="1" x14ac:dyDescent="0.2">
      <c r="A93" s="78">
        <v>72</v>
      </c>
      <c r="B93" s="88">
        <v>109</v>
      </c>
      <c r="C93" s="89" t="s">
        <v>348</v>
      </c>
      <c r="D93" s="89" t="s">
        <v>364</v>
      </c>
      <c r="E93" s="89" t="s">
        <v>375</v>
      </c>
      <c r="F93" s="89" t="s">
        <v>227</v>
      </c>
      <c r="G93" s="90">
        <v>4.97</v>
      </c>
      <c r="H93" s="90"/>
      <c r="I93" s="90"/>
      <c r="J93" s="78" t="s">
        <v>312</v>
      </c>
      <c r="K93" s="90">
        <v>5</v>
      </c>
      <c r="L93" s="38">
        <f>VLOOKUP(K93,Reinigungstage!A10:I31,9,FALSE)</f>
        <v>57.66</v>
      </c>
      <c r="M93" s="38">
        <f t="shared" si="18"/>
        <v>286.57</v>
      </c>
      <c r="N93" s="92">
        <f t="shared" si="19"/>
        <v>0</v>
      </c>
      <c r="O93" s="38">
        <f ca="1">IF('SVS UnterhaltsRG'!H61="",0,'SVS UnterhaltsRG'!H61)</f>
        <v>0</v>
      </c>
      <c r="P93" s="38">
        <f t="shared" si="20"/>
        <v>0</v>
      </c>
      <c r="Q93" s="38">
        <f t="shared" ca="1" si="21"/>
        <v>0</v>
      </c>
      <c r="R93" s="38">
        <f t="shared" si="22"/>
        <v>0</v>
      </c>
      <c r="S93" s="38">
        <f t="shared" ca="1" si="23"/>
        <v>0</v>
      </c>
      <c r="T93" s="16" t="str">
        <f t="shared" si="24"/>
        <v>Leistungswert eintragen</v>
      </c>
      <c r="U93" s="16">
        <f t="shared" si="25"/>
        <v>75</v>
      </c>
      <c r="V93" s="16">
        <f t="shared" si="26"/>
        <v>0</v>
      </c>
    </row>
    <row r="94" spans="1:22" ht="15" customHeight="1" x14ac:dyDescent="0.2">
      <c r="A94" s="78">
        <v>73</v>
      </c>
      <c r="B94" s="88">
        <v>110</v>
      </c>
      <c r="C94" s="89" t="s">
        <v>348</v>
      </c>
      <c r="D94" s="89" t="s">
        <v>364</v>
      </c>
      <c r="E94" s="89" t="s">
        <v>237</v>
      </c>
      <c r="F94" s="89" t="s">
        <v>227</v>
      </c>
      <c r="G94" s="90">
        <v>9.09</v>
      </c>
      <c r="H94" s="90"/>
      <c r="I94" s="90"/>
      <c r="J94" s="78" t="s">
        <v>312</v>
      </c>
      <c r="K94" s="90">
        <v>5</v>
      </c>
      <c r="L94" s="38">
        <f>VLOOKUP(K94,Reinigungstage!A10:I31,9,FALSE)</f>
        <v>57.66</v>
      </c>
      <c r="M94" s="38">
        <f t="shared" si="18"/>
        <v>524.13</v>
      </c>
      <c r="N94" s="92">
        <f t="shared" si="19"/>
        <v>0</v>
      </c>
      <c r="O94" s="38">
        <f ca="1">IF('SVS UnterhaltsRG'!H61="",0,'SVS UnterhaltsRG'!H61)</f>
        <v>0</v>
      </c>
      <c r="P94" s="38">
        <f t="shared" si="20"/>
        <v>0</v>
      </c>
      <c r="Q94" s="38">
        <f t="shared" ca="1" si="21"/>
        <v>0</v>
      </c>
      <c r="R94" s="38">
        <f t="shared" si="22"/>
        <v>0</v>
      </c>
      <c r="S94" s="38">
        <f t="shared" ca="1" si="23"/>
        <v>0</v>
      </c>
      <c r="T94" s="16" t="str">
        <f t="shared" si="24"/>
        <v>Leistungswert eintragen</v>
      </c>
      <c r="U94" s="16">
        <f t="shared" si="25"/>
        <v>75</v>
      </c>
      <c r="V94" s="16">
        <f t="shared" si="26"/>
        <v>0</v>
      </c>
    </row>
    <row r="95" spans="1:22" ht="15" customHeight="1" x14ac:dyDescent="0.2">
      <c r="A95" s="78">
        <v>74</v>
      </c>
      <c r="B95" s="88">
        <v>111</v>
      </c>
      <c r="C95" s="89" t="s">
        <v>348</v>
      </c>
      <c r="D95" s="89" t="s">
        <v>364</v>
      </c>
      <c r="E95" s="89" t="s">
        <v>332</v>
      </c>
      <c r="F95" s="89" t="s">
        <v>229</v>
      </c>
      <c r="G95" s="90">
        <v>9.41</v>
      </c>
      <c r="H95" s="90"/>
      <c r="I95" s="90"/>
      <c r="J95" s="78" t="s">
        <v>310</v>
      </c>
      <c r="K95" s="78" t="s">
        <v>154</v>
      </c>
      <c r="L95" s="38">
        <f>VLOOKUP(K95,Reinigungstage!A10:I31,9,FALSE)</f>
        <v>1</v>
      </c>
      <c r="M95" s="38">
        <f t="shared" si="18"/>
        <v>9.41</v>
      </c>
      <c r="N95" s="92">
        <f t="shared" si="19"/>
        <v>0</v>
      </c>
      <c r="O95" s="38">
        <f ca="1">IF('SVS UnterhaltsRG'!H61="",0,'SVS UnterhaltsRG'!H61)</f>
        <v>0</v>
      </c>
      <c r="P95" s="38">
        <f t="shared" si="20"/>
        <v>0</v>
      </c>
      <c r="Q95" s="38">
        <f t="shared" ca="1" si="21"/>
        <v>0</v>
      </c>
      <c r="R95" s="38">
        <f t="shared" si="22"/>
        <v>0</v>
      </c>
      <c r="S95" s="38">
        <f t="shared" ca="1" si="23"/>
        <v>0</v>
      </c>
      <c r="T95" s="16" t="str">
        <f t="shared" si="24"/>
        <v>Leistungswert eintragen</v>
      </c>
      <c r="U95" s="16">
        <f t="shared" si="25"/>
        <v>300</v>
      </c>
      <c r="V95" s="16">
        <f t="shared" si="26"/>
        <v>0</v>
      </c>
    </row>
    <row r="96" spans="1:22" ht="15" customHeight="1" x14ac:dyDescent="0.2">
      <c r="A96" s="78">
        <v>75</v>
      </c>
      <c r="B96" s="88">
        <v>112</v>
      </c>
      <c r="C96" s="89" t="s">
        <v>348</v>
      </c>
      <c r="D96" s="89" t="s">
        <v>364</v>
      </c>
      <c r="E96" s="89" t="s">
        <v>341</v>
      </c>
      <c r="F96" s="89" t="s">
        <v>229</v>
      </c>
      <c r="G96" s="90">
        <v>4.9000000000000004</v>
      </c>
      <c r="H96" s="90"/>
      <c r="I96" s="90"/>
      <c r="J96" s="78" t="s">
        <v>313</v>
      </c>
      <c r="K96" s="90">
        <v>5</v>
      </c>
      <c r="L96" s="38">
        <f>VLOOKUP(K96,Reinigungstage!A10:I31,9,FALSE)</f>
        <v>57.66</v>
      </c>
      <c r="M96" s="38">
        <f t="shared" si="18"/>
        <v>282.52999999999997</v>
      </c>
      <c r="N96" s="92">
        <f t="shared" si="19"/>
        <v>0</v>
      </c>
      <c r="O96" s="38">
        <f ca="1">IF('SVS UnterhaltsRG'!H61="",0,'SVS UnterhaltsRG'!H61)</f>
        <v>0</v>
      </c>
      <c r="P96" s="38">
        <f t="shared" si="20"/>
        <v>0</v>
      </c>
      <c r="Q96" s="38">
        <f t="shared" ca="1" si="21"/>
        <v>0</v>
      </c>
      <c r="R96" s="38">
        <f t="shared" si="22"/>
        <v>0</v>
      </c>
      <c r="S96" s="38">
        <f t="shared" ca="1" si="23"/>
        <v>0</v>
      </c>
      <c r="T96" s="16" t="str">
        <f t="shared" si="24"/>
        <v>Leistungswert eintragen</v>
      </c>
      <c r="U96" s="16">
        <f t="shared" si="25"/>
        <v>450</v>
      </c>
      <c r="V96" s="16">
        <f t="shared" si="26"/>
        <v>0</v>
      </c>
    </row>
    <row r="97" spans="1:22" ht="15" customHeight="1" x14ac:dyDescent="0.2">
      <c r="A97" s="78">
        <v>76</v>
      </c>
      <c r="B97" s="88" t="s">
        <v>376</v>
      </c>
      <c r="C97" s="89" t="s">
        <v>348</v>
      </c>
      <c r="D97" s="89" t="s">
        <v>364</v>
      </c>
      <c r="E97" s="89" t="s">
        <v>232</v>
      </c>
      <c r="F97" s="89" t="s">
        <v>229</v>
      </c>
      <c r="G97" s="90">
        <v>15.98</v>
      </c>
      <c r="H97" s="90"/>
      <c r="I97" s="90"/>
      <c r="J97" s="78" t="s">
        <v>311</v>
      </c>
      <c r="K97" s="90">
        <v>5</v>
      </c>
      <c r="L97" s="38">
        <f>VLOOKUP(K97,Reinigungstage!A10:I31,9,FALSE)</f>
        <v>57.66</v>
      </c>
      <c r="M97" s="38">
        <f t="shared" si="18"/>
        <v>921.41</v>
      </c>
      <c r="N97" s="92">
        <f t="shared" si="19"/>
        <v>0</v>
      </c>
      <c r="O97" s="38">
        <f ca="1">IF('SVS UnterhaltsRG'!H61="",0,'SVS UnterhaltsRG'!H61)</f>
        <v>0</v>
      </c>
      <c r="P97" s="38">
        <f t="shared" si="20"/>
        <v>0</v>
      </c>
      <c r="Q97" s="38">
        <f t="shared" ca="1" si="21"/>
        <v>0</v>
      </c>
      <c r="R97" s="38">
        <f t="shared" si="22"/>
        <v>0</v>
      </c>
      <c r="S97" s="38">
        <f t="shared" ca="1" si="23"/>
        <v>0</v>
      </c>
      <c r="T97" s="16" t="str">
        <f t="shared" si="24"/>
        <v>Leistungswert eintragen</v>
      </c>
      <c r="U97" s="16">
        <f t="shared" si="25"/>
        <v>170</v>
      </c>
      <c r="V97" s="16">
        <f t="shared" si="26"/>
        <v>0</v>
      </c>
    </row>
    <row r="98" spans="1:22" ht="15" customHeight="1" x14ac:dyDescent="0.2">
      <c r="A98" s="78">
        <v>77</v>
      </c>
      <c r="B98" s="88">
        <v>113</v>
      </c>
      <c r="C98" s="89" t="s">
        <v>348</v>
      </c>
      <c r="D98" s="89" t="s">
        <v>364</v>
      </c>
      <c r="E98" s="89" t="s">
        <v>232</v>
      </c>
      <c r="F98" s="89" t="s">
        <v>229</v>
      </c>
      <c r="G98" s="90">
        <v>41.87</v>
      </c>
      <c r="H98" s="90"/>
      <c r="I98" s="90"/>
      <c r="J98" s="78" t="s">
        <v>311</v>
      </c>
      <c r="K98" s="90">
        <v>5</v>
      </c>
      <c r="L98" s="38">
        <f>VLOOKUP(K98,Reinigungstage!A10:I31,9,FALSE)</f>
        <v>57.66</v>
      </c>
      <c r="M98" s="38">
        <f t="shared" si="18"/>
        <v>2414.2199999999998</v>
      </c>
      <c r="N98" s="92">
        <f t="shared" si="19"/>
        <v>0</v>
      </c>
      <c r="O98" s="38">
        <f ca="1">IF('SVS UnterhaltsRG'!H61="",0,'SVS UnterhaltsRG'!H61)</f>
        <v>0</v>
      </c>
      <c r="P98" s="38">
        <f t="shared" si="20"/>
        <v>0</v>
      </c>
      <c r="Q98" s="38">
        <f t="shared" ca="1" si="21"/>
        <v>0</v>
      </c>
      <c r="R98" s="38">
        <f t="shared" si="22"/>
        <v>0</v>
      </c>
      <c r="S98" s="38">
        <f t="shared" ca="1" si="23"/>
        <v>0</v>
      </c>
      <c r="T98" s="16" t="str">
        <f t="shared" si="24"/>
        <v>Leistungswert eintragen</v>
      </c>
      <c r="U98" s="16">
        <f t="shared" si="25"/>
        <v>170</v>
      </c>
      <c r="V98" s="16">
        <f t="shared" si="26"/>
        <v>0</v>
      </c>
    </row>
    <row r="99" spans="1:22" ht="15" customHeight="1" x14ac:dyDescent="0.2">
      <c r="A99" s="78">
        <v>78</v>
      </c>
      <c r="B99" s="88">
        <v>114</v>
      </c>
      <c r="C99" s="89" t="s">
        <v>348</v>
      </c>
      <c r="D99" s="89" t="s">
        <v>364</v>
      </c>
      <c r="E99" s="89" t="s">
        <v>232</v>
      </c>
      <c r="F99" s="89" t="s">
        <v>229</v>
      </c>
      <c r="G99" s="90">
        <v>59.57</v>
      </c>
      <c r="H99" s="90"/>
      <c r="I99" s="90"/>
      <c r="J99" s="78" t="s">
        <v>311</v>
      </c>
      <c r="K99" s="90">
        <v>5</v>
      </c>
      <c r="L99" s="38">
        <f>VLOOKUP(K99,Reinigungstage!A10:I31,9,FALSE)</f>
        <v>57.66</v>
      </c>
      <c r="M99" s="38">
        <f t="shared" si="18"/>
        <v>3434.81</v>
      </c>
      <c r="N99" s="92">
        <f t="shared" si="19"/>
        <v>0</v>
      </c>
      <c r="O99" s="38">
        <f ca="1">IF('SVS UnterhaltsRG'!H61="",0,'SVS UnterhaltsRG'!H61)</f>
        <v>0</v>
      </c>
      <c r="P99" s="38">
        <f t="shared" si="20"/>
        <v>0</v>
      </c>
      <c r="Q99" s="38">
        <f t="shared" ca="1" si="21"/>
        <v>0</v>
      </c>
      <c r="R99" s="38">
        <f t="shared" si="22"/>
        <v>0</v>
      </c>
      <c r="S99" s="38">
        <f t="shared" ca="1" si="23"/>
        <v>0</v>
      </c>
      <c r="T99" s="16" t="str">
        <f t="shared" si="24"/>
        <v>Leistungswert eintragen</v>
      </c>
      <c r="U99" s="16">
        <f t="shared" si="25"/>
        <v>170</v>
      </c>
      <c r="V99" s="16">
        <f t="shared" si="26"/>
        <v>0</v>
      </c>
    </row>
    <row r="100" spans="1:22" ht="15" customHeight="1" x14ac:dyDescent="0.2">
      <c r="A100" s="78">
        <v>79</v>
      </c>
      <c r="B100" s="88">
        <v>115</v>
      </c>
      <c r="C100" s="89" t="s">
        <v>348</v>
      </c>
      <c r="D100" s="89" t="s">
        <v>364</v>
      </c>
      <c r="E100" s="89" t="s">
        <v>341</v>
      </c>
      <c r="F100" s="89" t="s">
        <v>229</v>
      </c>
      <c r="G100" s="90">
        <v>4.8600000000000003</v>
      </c>
      <c r="H100" s="90"/>
      <c r="I100" s="90"/>
      <c r="J100" s="78" t="s">
        <v>313</v>
      </c>
      <c r="K100" s="90">
        <v>5</v>
      </c>
      <c r="L100" s="38">
        <f>VLOOKUP(K100,Reinigungstage!A10:I31,9,FALSE)</f>
        <v>57.66</v>
      </c>
      <c r="M100" s="38">
        <f t="shared" ref="M100:M102" si="27">ROUND(IF(L100=0,0,L100*G100),2)</f>
        <v>280.23</v>
      </c>
      <c r="N100" s="92">
        <f t="shared" si="19"/>
        <v>0</v>
      </c>
      <c r="O100" s="38">
        <f ca="1">IF('SVS UnterhaltsRG'!H61="",0,'SVS UnterhaltsRG'!H61)</f>
        <v>0</v>
      </c>
      <c r="P100" s="38">
        <f t="shared" si="20"/>
        <v>0</v>
      </c>
      <c r="Q100" s="38">
        <f t="shared" ref="Q100:Q102" ca="1" si="28">IF(M100=0,0,IF(O100="",0,ROUND(P100*O100,2)))</f>
        <v>0</v>
      </c>
      <c r="R100" s="38">
        <f t="shared" si="22"/>
        <v>0</v>
      </c>
      <c r="S100" s="38">
        <f t="shared" ca="1" si="23"/>
        <v>0</v>
      </c>
      <c r="T100" s="16" t="str">
        <f t="shared" si="24"/>
        <v>Leistungswert eintragen</v>
      </c>
      <c r="U100" s="16">
        <f t="shared" si="25"/>
        <v>450</v>
      </c>
      <c r="V100" s="16">
        <f t="shared" ref="V100:V102" si="29">IF(M100=0,0,IF(U100&lt;N100,1,IF(U100&gt;=N100,0,"")))</f>
        <v>0</v>
      </c>
    </row>
    <row r="101" spans="1:22" ht="15" customHeight="1" x14ac:dyDescent="0.2">
      <c r="A101" s="78">
        <v>80</v>
      </c>
      <c r="B101" s="88">
        <v>116</v>
      </c>
      <c r="C101" s="89" t="s">
        <v>348</v>
      </c>
      <c r="D101" s="89" t="s">
        <v>364</v>
      </c>
      <c r="E101" s="89" t="s">
        <v>232</v>
      </c>
      <c r="F101" s="89" t="s">
        <v>229</v>
      </c>
      <c r="G101" s="90">
        <v>59.53</v>
      </c>
      <c r="H101" s="90"/>
      <c r="I101" s="90"/>
      <c r="J101" s="78" t="s">
        <v>311</v>
      </c>
      <c r="K101" s="90">
        <v>5</v>
      </c>
      <c r="L101" s="38">
        <f>VLOOKUP(K101,Reinigungstage!A10:I31,9,FALSE)</f>
        <v>57.66</v>
      </c>
      <c r="M101" s="38">
        <f t="shared" si="27"/>
        <v>3432.5</v>
      </c>
      <c r="N101" s="92">
        <f t="shared" si="19"/>
        <v>0</v>
      </c>
      <c r="O101" s="38">
        <f ca="1">IF('SVS UnterhaltsRG'!H61="",0,'SVS UnterhaltsRG'!H61)</f>
        <v>0</v>
      </c>
      <c r="P101" s="38">
        <f t="shared" si="20"/>
        <v>0</v>
      </c>
      <c r="Q101" s="38">
        <f t="shared" ca="1" si="28"/>
        <v>0</v>
      </c>
      <c r="R101" s="38">
        <f t="shared" si="22"/>
        <v>0</v>
      </c>
      <c r="S101" s="38">
        <f t="shared" ca="1" si="23"/>
        <v>0</v>
      </c>
      <c r="T101" s="16" t="str">
        <f t="shared" si="24"/>
        <v>Leistungswert eintragen</v>
      </c>
      <c r="U101" s="16">
        <f t="shared" si="25"/>
        <v>170</v>
      </c>
      <c r="V101" s="16">
        <f t="shared" si="29"/>
        <v>0</v>
      </c>
    </row>
    <row r="102" spans="1:22" ht="15" customHeight="1" x14ac:dyDescent="0.2">
      <c r="A102" s="78">
        <v>81</v>
      </c>
      <c r="B102" s="88">
        <v>117</v>
      </c>
      <c r="C102" s="89" t="s">
        <v>348</v>
      </c>
      <c r="D102" s="89" t="s">
        <v>364</v>
      </c>
      <c r="E102" s="89" t="s">
        <v>341</v>
      </c>
      <c r="F102" s="89" t="s">
        <v>229</v>
      </c>
      <c r="G102" s="90">
        <v>5.07</v>
      </c>
      <c r="H102" s="90"/>
      <c r="I102" s="90"/>
      <c r="J102" s="78" t="s">
        <v>313</v>
      </c>
      <c r="K102" s="90">
        <v>5</v>
      </c>
      <c r="L102" s="38">
        <f>VLOOKUP(K102,Reinigungstage!A10:I31,9,FALSE)</f>
        <v>57.66</v>
      </c>
      <c r="M102" s="38">
        <f t="shared" si="27"/>
        <v>292.33999999999997</v>
      </c>
      <c r="N102" s="92">
        <f t="shared" si="19"/>
        <v>0</v>
      </c>
      <c r="O102" s="38">
        <f ca="1">IF('SVS UnterhaltsRG'!H61="",0,'SVS UnterhaltsRG'!H61)</f>
        <v>0</v>
      </c>
      <c r="P102" s="38">
        <f t="shared" si="20"/>
        <v>0</v>
      </c>
      <c r="Q102" s="38">
        <f t="shared" ca="1" si="28"/>
        <v>0</v>
      </c>
      <c r="R102" s="38">
        <f t="shared" si="22"/>
        <v>0</v>
      </c>
      <c r="S102" s="38">
        <f t="shared" ca="1" si="23"/>
        <v>0</v>
      </c>
      <c r="T102" s="16" t="str">
        <f t="shared" si="24"/>
        <v>Leistungswert eintragen</v>
      </c>
      <c r="U102" s="16">
        <f t="shared" si="25"/>
        <v>450</v>
      </c>
      <c r="V102" s="16">
        <f t="shared" si="29"/>
        <v>0</v>
      </c>
    </row>
  </sheetData>
  <sheetProtection algorithmName="SHA-512" hashValue="le1Ta++j7uBhscS5lTcUmFILW7w+ILRe5sXLrLWWgwtc8nATlWwotgEoVi74R53Rk+qW2pQHn+p8O1zxKykG+g==" saltValue="Cpb/pjIr9iHMnBhSQVvTyQ==" spinCount="100000" sheet="1" objects="1" scenarios="1"/>
  <sortState xmlns:xlrd2="http://schemas.microsoft.com/office/spreadsheetml/2017/richdata2" ref="U4:U13">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37"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36" priority="5" operator="containsText" text="Bitte prüfen Sie diese.">
      <formula>NOT(ISERROR(SEARCH("Bitte prüfen Sie diese.",L9)))</formula>
    </cfRule>
  </conditionalFormatting>
  <conditionalFormatting sqref="L10">
    <cfRule type="containsText" dxfId="35"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34" priority="3" operator="containsText" text="lediglich Fehleingaben vermeiden wollen.">
      <formula>NOT(ISERROR(SEARCH("lediglich Fehleingaben vermeiden wollen.",L11)))</formula>
    </cfRule>
  </conditionalFormatting>
  <conditionalFormatting sqref="M11">
    <cfRule type="containsText" dxfId="33" priority="8" operator="containsText" text="Bitte die Leistungswerte im Leistungsverzeichnis/ Tabellenblatt Leistungsrichtwerte">
      <formula>NOT(ISERROR(SEARCH("Bitte die Leistungswerte im Leistungsverzeichnis/ Tabellenblatt Leistungsrichtwerte",M11)))</formula>
    </cfRule>
  </conditionalFormatting>
  <conditionalFormatting sqref="M12">
    <cfRule type="containsText" dxfId="32" priority="7" operator="containsText" text="für die Objektart prüfen.">
      <formula>NOT(ISERROR(SEARCH("für die Objektart prüfen.",M12)))</formula>
    </cfRule>
  </conditionalFormatting>
  <conditionalFormatting sqref="N13">
    <cfRule type="expression" dxfId="31" priority="2" stopIfTrue="1">
      <formula>N13=0</formula>
    </cfRule>
  </conditionalFormatting>
  <conditionalFormatting sqref="N14">
    <cfRule type="expression" dxfId="30" priority="1">
      <formula>N14=0</formula>
    </cfRule>
  </conditionalFormatting>
  <conditionalFormatting sqref="N22:N102">
    <cfRule type="expression" dxfId="29" priority="11">
      <formula>V22=0</formula>
    </cfRule>
    <cfRule type="expression" dxfId="28" priority="12" stopIfTrue="1">
      <formula>V22=1</formula>
    </cfRule>
  </conditionalFormatting>
  <conditionalFormatting sqref="O13">
    <cfRule type="containsText" dxfId="27" priority="10"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26" priority="9" operator="containsText" text="Wert(e) prüfen.">
      <formula>NOT(ISERROR(SEARCH("Wert(e) prüfen.",O14)))</formula>
    </cfRule>
  </conditionalFormatting>
  <conditionalFormatting sqref="T22:T102">
    <cfRule type="containsText" dxfId="25" priority="13" stopIfTrue="1" operator="containsText" text="SVS prüfen">
      <formula>NOT(ISERROR(SEARCH("SVS prüfen",T22)))</formula>
    </cfRule>
    <cfRule type="containsText" dxfId="24" priority="14" stopIfTrue="1" operator="containsText" text="Leistungswert eintragen">
      <formula>NOT(ISERROR(SEARCH("Leistungswert eintragen",T22)))</formula>
    </cfRule>
  </conditionalFormatting>
  <hyperlinks>
    <hyperlink ref="M1" location="Inhaltsverzeichnis!A1" display="Zurück zum Inhaltsverzeichnis" xr:uid="{89F02D9A-F53F-497C-BAFA-53D4485AAA1A}"/>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Unter Fer Hort mit TH</oddFooter>
  </headerFooter>
  <rowBreaks count="1" manualBreakCount="1">
    <brk id="102" max="16383" man="1"/>
  </rowBreaks>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1617"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111618"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111619"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111620"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13F82-1A3B-44F1-AE68-10BB1DAC2DE6}">
  <sheetPr>
    <tabColor theme="8"/>
  </sheetPr>
  <dimension ref="A1:U156"/>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28515625" style="16" customWidth="1"/>
    <col min="2" max="2" width="7.7109375" style="16" customWidth="1"/>
    <col min="3" max="3" width="5.85546875" style="16" customWidth="1"/>
    <col min="4" max="4" width="8.28515625" style="16" customWidth="1"/>
    <col min="5" max="5" width="20.7109375" style="16" customWidth="1"/>
    <col min="6" max="6" width="13.5703125" style="16" bestFit="1" customWidth="1"/>
    <col min="7" max="8" width="10.7109375" style="16" customWidth="1"/>
    <col min="9" max="9" width="11.7109375" style="16" customWidth="1"/>
    <col min="10" max="10" width="10.7109375" style="16" customWidth="1"/>
    <col min="11" max="11" width="7.85546875" style="16" customWidth="1"/>
    <col min="12" max="12" width="8.5703125" style="16" customWidth="1"/>
    <col min="13" max="13" width="12.140625" style="16" customWidth="1"/>
    <col min="14" max="14" width="9.42578125" style="16" customWidth="1"/>
    <col min="15" max="15" width="8.42578125" style="16" customWidth="1"/>
    <col min="16" max="17" width="11.42578125" style="16" customWidth="1"/>
    <col min="18" max="19" width="11.28515625" style="16" customWidth="1"/>
    <col min="20" max="20" width="23.42578125" style="16" customWidth="1"/>
    <col min="21" max="21" width="0" style="16" hidden="1" customWidth="1"/>
    <col min="22" max="16384" width="11.42578125" style="16" hidden="1"/>
  </cols>
  <sheetData>
    <row r="1" spans="1:21" ht="15" customHeight="1" x14ac:dyDescent="0.2">
      <c r="M1" s="1" t="s">
        <v>100</v>
      </c>
    </row>
    <row r="2" spans="1:21" ht="21" customHeight="1" x14ac:dyDescent="0.2">
      <c r="A2" s="167" t="s">
        <v>172</v>
      </c>
      <c r="B2" s="168"/>
      <c r="C2" s="168"/>
      <c r="D2" s="168" t="b">
        <v>0</v>
      </c>
      <c r="E2" s="169"/>
      <c r="G2" s="170" t="s">
        <v>185</v>
      </c>
      <c r="H2" s="170" t="s">
        <v>177</v>
      </c>
      <c r="I2" s="170" t="s">
        <v>178</v>
      </c>
      <c r="J2" s="170" t="s">
        <v>197</v>
      </c>
      <c r="M2" s="8"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1" ht="21" customHeight="1" x14ac:dyDescent="0.2">
      <c r="A3" s="75" t="s">
        <v>385</v>
      </c>
      <c r="B3" s="76"/>
      <c r="C3" s="76"/>
      <c r="D3" s="76"/>
      <c r="E3" s="77"/>
      <c r="G3" s="171"/>
      <c r="H3" s="171" t="b">
        <v>0</v>
      </c>
      <c r="I3" s="171"/>
      <c r="J3" s="171"/>
      <c r="M3" s="8" t="b">
        <v>0</v>
      </c>
      <c r="N3" s="129"/>
      <c r="O3" s="129"/>
      <c r="P3" s="129"/>
      <c r="Q3" s="129"/>
    </row>
    <row r="4" spans="1:21" ht="15" customHeight="1" x14ac:dyDescent="0.2">
      <c r="A4" s="165" t="s">
        <v>91</v>
      </c>
      <c r="B4" s="153" t="str">
        <f>IF(Inhaltsverzeichnis!C3="","",Inhaltsverzeichnis!C3)</f>
        <v/>
      </c>
      <c r="C4" s="154"/>
      <c r="D4" s="154"/>
      <c r="E4" s="155"/>
      <c r="G4" s="78" t="s">
        <v>312</v>
      </c>
      <c r="H4" s="91"/>
      <c r="I4" s="79">
        <f ca="1">SUMIF('Kal Sonder Bed GS Zeesen'!J22:M34,$G$4,'Kal Sonder Bed GS Zeesen'!M22:M34)</f>
        <v>345.25</v>
      </c>
      <c r="J4" s="23">
        <f>COUNTIFS('Kal Sonder Bed GS Zeesen'!J22:M34,$G$4)</f>
        <v>8</v>
      </c>
      <c r="M4" s="8" t="b">
        <v>0</v>
      </c>
      <c r="N4" s="129"/>
      <c r="O4" s="129"/>
      <c r="P4" s="129"/>
      <c r="Q4" s="129"/>
      <c r="U4" s="78" t="s">
        <v>314</v>
      </c>
    </row>
    <row r="5" spans="1:21" ht="15" customHeight="1" x14ac:dyDescent="0.2">
      <c r="A5" s="166"/>
      <c r="B5" s="156"/>
      <c r="C5" s="157"/>
      <c r="D5" s="157"/>
      <c r="E5" s="158"/>
      <c r="G5" s="78" t="s">
        <v>317</v>
      </c>
      <c r="H5" s="91"/>
      <c r="I5" s="79">
        <f ca="1">SUMIF('Kal Sonder Bed GS Zeesen'!J22:M34,$G$5,'Kal Sonder Bed GS Zeesen'!M22:M34)</f>
        <v>2025</v>
      </c>
      <c r="J5" s="23">
        <f>COUNTIFS('Kal Sonder Bed GS Zeesen'!J22:M34,$G$5)</f>
        <v>1</v>
      </c>
      <c r="M5" s="8" t="b">
        <v>0</v>
      </c>
      <c r="N5" s="129"/>
      <c r="O5" s="129"/>
      <c r="P5" s="129"/>
      <c r="Q5" s="129"/>
      <c r="U5" s="78" t="s">
        <v>309</v>
      </c>
    </row>
    <row r="6" spans="1:21" ht="15" customHeight="1" x14ac:dyDescent="0.2">
      <c r="A6" s="80" t="s">
        <v>195</v>
      </c>
      <c r="B6" s="159" t="s">
        <v>215</v>
      </c>
      <c r="C6" s="172"/>
      <c r="D6" s="172"/>
      <c r="E6" s="173"/>
      <c r="G6" s="78" t="s">
        <v>316</v>
      </c>
      <c r="H6" s="91"/>
      <c r="I6" s="79">
        <f ca="1">SUMIF('Kal Sonder Bed GS Zeesen'!J22:M34,$G$6,'Kal Sonder Bed GS Zeesen'!M22:M34)</f>
        <v>105.1</v>
      </c>
      <c r="J6" s="23">
        <f>COUNTIFS('Kal Sonder Bed GS Zeesen'!J22:M34,$G$6)</f>
        <v>2</v>
      </c>
      <c r="U6" s="78" t="s">
        <v>311</v>
      </c>
    </row>
    <row r="7" spans="1:21" ht="15" customHeight="1" x14ac:dyDescent="0.2">
      <c r="A7" s="81" t="s">
        <v>193</v>
      </c>
      <c r="B7" s="174" t="s">
        <v>216</v>
      </c>
      <c r="C7" s="172"/>
      <c r="D7" s="172"/>
      <c r="E7" s="173"/>
      <c r="G7" s="78" t="s">
        <v>315</v>
      </c>
      <c r="H7" s="91"/>
      <c r="I7" s="79">
        <f ca="1">SUMIF('Kal Sonder Bed GS Zeesen'!J22:M34,$G$7,'Kal Sonder Bed GS Zeesen'!M22:M34)</f>
        <v>1718.2</v>
      </c>
      <c r="J7" s="23">
        <f>COUNTIFS('Kal Sonder Bed GS Zeesen'!J22:M34,$G$7)</f>
        <v>2</v>
      </c>
      <c r="U7" s="78" t="s">
        <v>312</v>
      </c>
    </row>
    <row r="8" spans="1:21" ht="15" customHeight="1" x14ac:dyDescent="0.2">
      <c r="A8" s="81" t="s">
        <v>194</v>
      </c>
      <c r="B8" s="159"/>
      <c r="C8" s="172"/>
      <c r="D8" s="172"/>
      <c r="E8" s="173"/>
      <c r="U8" s="78" t="s">
        <v>317</v>
      </c>
    </row>
    <row r="9" spans="1:21" ht="15" customHeight="1" x14ac:dyDescent="0.2">
      <c r="A9" s="80" t="s">
        <v>192</v>
      </c>
      <c r="B9" s="163" t="s">
        <v>214</v>
      </c>
      <c r="C9" s="172"/>
      <c r="D9" s="172"/>
      <c r="E9" s="173"/>
      <c r="U9" s="78" t="s">
        <v>310</v>
      </c>
    </row>
    <row r="10" spans="1:21" ht="15" customHeight="1" x14ac:dyDescent="0.2">
      <c r="A10" s="81" t="s">
        <v>174</v>
      </c>
      <c r="B10" s="159" t="s">
        <v>217</v>
      </c>
      <c r="C10" s="172"/>
      <c r="D10" s="172"/>
      <c r="E10" s="173"/>
      <c r="U10" s="78" t="s">
        <v>307</v>
      </c>
    </row>
    <row r="11" spans="1:21" ht="15" customHeight="1" x14ac:dyDescent="0.2">
      <c r="A11" s="81" t="s">
        <v>175</v>
      </c>
      <c r="B11" s="164" t="s">
        <v>218</v>
      </c>
      <c r="C11" s="172"/>
      <c r="D11" s="172"/>
      <c r="E11" s="173"/>
      <c r="U11" s="78" t="s">
        <v>316</v>
      </c>
    </row>
    <row r="12" spans="1:21" ht="15" customHeight="1" x14ac:dyDescent="0.2">
      <c r="A12" s="81" t="s">
        <v>176</v>
      </c>
      <c r="B12" s="159" t="s">
        <v>219</v>
      </c>
      <c r="C12" s="172"/>
      <c r="D12" s="172"/>
      <c r="E12" s="173"/>
      <c r="U12" s="78" t="s">
        <v>308</v>
      </c>
    </row>
    <row r="13" spans="1:21"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U13" s="78" t="s">
        <v>313</v>
      </c>
    </row>
    <row r="14" spans="1:21" ht="15" customHeight="1" x14ac:dyDescent="0.2">
      <c r="T14" s="84">
        <f>IF(COUNTA($T$22:$T$34)-COUNTBLANK($T$22:$T$34)=0,"",COUNTA($T$22:$T$34)-COUNTBLANK($T$22:$T$34))</f>
        <v>13</v>
      </c>
      <c r="U14" s="78" t="s">
        <v>315</v>
      </c>
    </row>
    <row r="15" spans="1:21" ht="15" hidden="1" customHeight="1" x14ac:dyDescent="0.2"/>
    <row r="16" spans="1:21" ht="15" hidden="1" customHeight="1" x14ac:dyDescent="0.2"/>
    <row r="17" spans="1:20" ht="15" hidden="1" customHeight="1" x14ac:dyDescent="0.2"/>
    <row r="18" spans="1:20" ht="15" hidden="1" customHeight="1" x14ac:dyDescent="0.2"/>
    <row r="19" spans="1:20" ht="15" hidden="1" customHeight="1" x14ac:dyDescent="0.2"/>
    <row r="20" spans="1:20" ht="45" customHeight="1" x14ac:dyDescent="0.2">
      <c r="A20" s="33" t="s">
        <v>92</v>
      </c>
      <c r="B20" s="33" t="s">
        <v>97</v>
      </c>
      <c r="C20" s="96" t="s">
        <v>93</v>
      </c>
      <c r="D20" s="96" t="s">
        <v>94</v>
      </c>
      <c r="E20" s="33" t="s">
        <v>98</v>
      </c>
      <c r="F20" s="96" t="s">
        <v>95</v>
      </c>
      <c r="G20" s="33" t="s">
        <v>117</v>
      </c>
      <c r="H20" s="33" t="s">
        <v>107</v>
      </c>
      <c r="I20" s="33" t="s">
        <v>108</v>
      </c>
      <c r="J20" s="33" t="s">
        <v>99</v>
      </c>
      <c r="K20" s="33" t="s">
        <v>105</v>
      </c>
      <c r="L20" s="33" t="s">
        <v>136</v>
      </c>
      <c r="M20" s="33" t="s">
        <v>110</v>
      </c>
      <c r="N20" s="33" t="s">
        <v>106</v>
      </c>
      <c r="O20" s="33" t="s">
        <v>111</v>
      </c>
      <c r="P20" s="33" t="s">
        <v>112</v>
      </c>
      <c r="Q20" s="33" t="s">
        <v>113</v>
      </c>
      <c r="R20" s="33" t="s">
        <v>196</v>
      </c>
      <c r="S20" s="33" t="s">
        <v>135</v>
      </c>
    </row>
    <row r="21" spans="1:20" ht="29.1" customHeight="1" x14ac:dyDescent="0.2">
      <c r="A21" s="85" t="s">
        <v>120</v>
      </c>
      <c r="B21" s="60"/>
      <c r="C21" s="60"/>
      <c r="D21" s="60"/>
      <c r="E21" s="60"/>
      <c r="F21" s="60"/>
      <c r="G21" s="86">
        <f>SUM($G$22:$G$34)</f>
        <v>838.71000000000015</v>
      </c>
      <c r="H21" s="86">
        <f>SUM($H$22:$H$34)</f>
        <v>0</v>
      </c>
      <c r="I21" s="86">
        <f>SUM($I$22:$I$34)</f>
        <v>0</v>
      </c>
      <c r="J21" s="38"/>
      <c r="K21" s="38"/>
      <c r="L21" s="87">
        <f>MAX(L22:L34)</f>
        <v>5</v>
      </c>
      <c r="M21" s="86">
        <f>SUM($M$22:$M$34)</f>
        <v>4193.55</v>
      </c>
      <c r="N21" s="38"/>
      <c r="O21" s="38"/>
      <c r="P21" s="86">
        <f>SUM($P$22:$P$34)</f>
        <v>0</v>
      </c>
      <c r="Q21" s="86">
        <f ca="1">SUM($Q$22:$Q$34)</f>
        <v>0</v>
      </c>
      <c r="R21" s="86">
        <f>ROUND(IF(L21=0,0,P21/L21),2)</f>
        <v>0</v>
      </c>
      <c r="S21" s="86">
        <f ca="1">ROUND(IF(L21=0,0,Q21/L21),2)</f>
        <v>0</v>
      </c>
    </row>
    <row r="22" spans="1:20" ht="15" customHeight="1" x14ac:dyDescent="0.2">
      <c r="A22" s="78">
        <v>1</v>
      </c>
      <c r="B22" s="88">
        <v>103</v>
      </c>
      <c r="C22" s="89" t="s">
        <v>276</v>
      </c>
      <c r="D22" s="89"/>
      <c r="E22" s="89" t="s">
        <v>278</v>
      </c>
      <c r="F22" s="89" t="s">
        <v>227</v>
      </c>
      <c r="G22" s="97">
        <v>7.48</v>
      </c>
      <c r="H22" s="97"/>
      <c r="I22" s="78"/>
      <c r="J22" s="78" t="s">
        <v>315</v>
      </c>
      <c r="K22" s="78" t="s">
        <v>163</v>
      </c>
      <c r="L22" s="38">
        <f>VLOOKUP(K22,Reinigungstage!$A$10:$K$31,11,FALSE)</f>
        <v>5</v>
      </c>
      <c r="M22" s="38">
        <f t="shared" ref="M22:M34" si="0">ROUND(IF(L22=0,0,L22*G22),2)</f>
        <v>37.4</v>
      </c>
      <c r="N22" s="92">
        <f t="shared" ref="N22:N34" si="1">VLOOKUP(J22,$G$4:$H$13,2,FALSE)</f>
        <v>0</v>
      </c>
      <c r="O22" s="38">
        <f ca="1">IF('SVS Sonderreinigung'!$H$61="",0,'SVS Sonderreinigung'!$H$61)</f>
        <v>0</v>
      </c>
      <c r="P22" s="38">
        <f t="shared" ref="P22:P34" si="2">ROUND(IF(N22=0,0,M22/N22),2)</f>
        <v>0</v>
      </c>
      <c r="Q22" s="38">
        <f t="shared" ref="Q22:Q34" ca="1" si="3">IF(M22=0,0,IF(O22="",0,ROUND(P22*O22,2)))</f>
        <v>0</v>
      </c>
      <c r="R22" s="38">
        <f t="shared" ref="R22:R34" si="4">ROUND(IF(P22=0,0,P22/L22),2)</f>
        <v>0</v>
      </c>
      <c r="S22" s="38">
        <f t="shared" ref="S22:S34" ca="1" si="5">ROUND(IF(Q22=0,0,Q22/L22),2)</f>
        <v>0</v>
      </c>
      <c r="T22" s="16" t="str">
        <f t="shared" ref="T22:T34" si="6">IF(M22=0,"",IF(N22=0,"Leistungswert eintragen",IF(O22=0,"SVS prüfen","")))</f>
        <v>Leistungswert eintragen</v>
      </c>
    </row>
    <row r="23" spans="1:20" ht="15" customHeight="1" x14ac:dyDescent="0.2">
      <c r="A23" s="78">
        <v>2</v>
      </c>
      <c r="B23" s="88">
        <v>104</v>
      </c>
      <c r="C23" s="89" t="s">
        <v>276</v>
      </c>
      <c r="D23" s="89"/>
      <c r="E23" s="89" t="s">
        <v>236</v>
      </c>
      <c r="F23" s="89" t="s">
        <v>227</v>
      </c>
      <c r="G23" s="97">
        <v>6.15</v>
      </c>
      <c r="H23" s="97"/>
      <c r="I23" s="78"/>
      <c r="J23" s="78" t="s">
        <v>312</v>
      </c>
      <c r="K23" s="78" t="s">
        <v>163</v>
      </c>
      <c r="L23" s="38">
        <f>VLOOKUP(K23,Reinigungstage!$A$10:$K$31,11,FALSE)</f>
        <v>5</v>
      </c>
      <c r="M23" s="38">
        <f t="shared" si="0"/>
        <v>30.75</v>
      </c>
      <c r="N23" s="92">
        <f t="shared" si="1"/>
        <v>0</v>
      </c>
      <c r="O23" s="38">
        <f ca="1">IF('SVS Sonderreinigung'!$H$61="",0,'SVS Sonderreinigung'!$H$61)</f>
        <v>0</v>
      </c>
      <c r="P23" s="38">
        <f t="shared" si="2"/>
        <v>0</v>
      </c>
      <c r="Q23" s="38">
        <f t="shared" ca="1" si="3"/>
        <v>0</v>
      </c>
      <c r="R23" s="38">
        <f t="shared" si="4"/>
        <v>0</v>
      </c>
      <c r="S23" s="38">
        <f t="shared" ca="1" si="5"/>
        <v>0</v>
      </c>
      <c r="T23" s="16" t="str">
        <f t="shared" si="6"/>
        <v>Leistungswert eintragen</v>
      </c>
    </row>
    <row r="24" spans="1:20" ht="15" customHeight="1" x14ac:dyDescent="0.2">
      <c r="A24" s="78">
        <v>3</v>
      </c>
      <c r="B24" s="88">
        <v>105</v>
      </c>
      <c r="C24" s="89" t="s">
        <v>276</v>
      </c>
      <c r="D24" s="89"/>
      <c r="E24" s="89" t="s">
        <v>279</v>
      </c>
      <c r="F24" s="89" t="s">
        <v>227</v>
      </c>
      <c r="G24" s="97">
        <v>10.220000000000001</v>
      </c>
      <c r="H24" s="97"/>
      <c r="I24" s="78"/>
      <c r="J24" s="78" t="s">
        <v>312</v>
      </c>
      <c r="K24" s="78" t="s">
        <v>163</v>
      </c>
      <c r="L24" s="38">
        <f>VLOOKUP(K24,Reinigungstage!$A$10:$K$31,11,FALSE)</f>
        <v>5</v>
      </c>
      <c r="M24" s="38">
        <f t="shared" si="0"/>
        <v>51.1</v>
      </c>
      <c r="N24" s="92">
        <f t="shared" si="1"/>
        <v>0</v>
      </c>
      <c r="O24" s="38">
        <f ca="1">IF('SVS Sonderreinigung'!$H$61="",0,'SVS Sonderreinigung'!$H$61)</f>
        <v>0</v>
      </c>
      <c r="P24" s="38">
        <f t="shared" si="2"/>
        <v>0</v>
      </c>
      <c r="Q24" s="38">
        <f t="shared" ca="1" si="3"/>
        <v>0</v>
      </c>
      <c r="R24" s="38">
        <f t="shared" si="4"/>
        <v>0</v>
      </c>
      <c r="S24" s="38">
        <f t="shared" ca="1" si="5"/>
        <v>0</v>
      </c>
      <c r="T24" s="16" t="str">
        <f t="shared" si="6"/>
        <v>Leistungswert eintragen</v>
      </c>
    </row>
    <row r="25" spans="1:20" ht="15" customHeight="1" x14ac:dyDescent="0.2">
      <c r="A25" s="78">
        <v>4</v>
      </c>
      <c r="B25" s="88">
        <v>106</v>
      </c>
      <c r="C25" s="89" t="s">
        <v>276</v>
      </c>
      <c r="D25" s="89"/>
      <c r="E25" s="89" t="s">
        <v>280</v>
      </c>
      <c r="F25" s="89" t="s">
        <v>227</v>
      </c>
      <c r="G25" s="97">
        <v>11.3</v>
      </c>
      <c r="H25" s="97"/>
      <c r="I25" s="78"/>
      <c r="J25" s="78" t="s">
        <v>312</v>
      </c>
      <c r="K25" s="78" t="s">
        <v>163</v>
      </c>
      <c r="L25" s="38">
        <f>VLOOKUP(K25,Reinigungstage!$A$10:$K$31,11,FALSE)</f>
        <v>5</v>
      </c>
      <c r="M25" s="38">
        <f t="shared" si="0"/>
        <v>56.5</v>
      </c>
      <c r="N25" s="92">
        <f t="shared" si="1"/>
        <v>0</v>
      </c>
      <c r="O25" s="38">
        <f ca="1">IF('SVS Sonderreinigung'!$H$61="",0,'SVS Sonderreinigung'!$H$61)</f>
        <v>0</v>
      </c>
      <c r="P25" s="38">
        <f t="shared" si="2"/>
        <v>0</v>
      </c>
      <c r="Q25" s="38">
        <f t="shared" ca="1" si="3"/>
        <v>0</v>
      </c>
      <c r="R25" s="38">
        <f t="shared" si="4"/>
        <v>0</v>
      </c>
      <c r="S25" s="38">
        <f t="shared" ca="1" si="5"/>
        <v>0</v>
      </c>
      <c r="T25" s="16" t="str">
        <f t="shared" si="6"/>
        <v>Leistungswert eintragen</v>
      </c>
    </row>
    <row r="26" spans="1:20" ht="15" customHeight="1" x14ac:dyDescent="0.2">
      <c r="A26" s="78">
        <v>5</v>
      </c>
      <c r="B26" s="88">
        <v>131</v>
      </c>
      <c r="C26" s="89" t="s">
        <v>276</v>
      </c>
      <c r="D26" s="89"/>
      <c r="E26" s="89" t="s">
        <v>286</v>
      </c>
      <c r="F26" s="89" t="s">
        <v>227</v>
      </c>
      <c r="G26" s="97">
        <v>336.16</v>
      </c>
      <c r="H26" s="97"/>
      <c r="I26" s="78"/>
      <c r="J26" s="78" t="s">
        <v>315</v>
      </c>
      <c r="K26" s="78" t="s">
        <v>163</v>
      </c>
      <c r="L26" s="38">
        <f>VLOOKUP(K26,Reinigungstage!$A$10:$K$31,11,FALSE)</f>
        <v>5</v>
      </c>
      <c r="M26" s="38">
        <f t="shared" si="0"/>
        <v>1680.8</v>
      </c>
      <c r="N26" s="92">
        <f t="shared" si="1"/>
        <v>0</v>
      </c>
      <c r="O26" s="38">
        <f ca="1">IF('SVS Sonderreinigung'!$H$61="",0,'SVS Sonderreinigung'!$H$61)</f>
        <v>0</v>
      </c>
      <c r="P26" s="38">
        <f t="shared" si="2"/>
        <v>0</v>
      </c>
      <c r="Q26" s="38">
        <f t="shared" ca="1" si="3"/>
        <v>0</v>
      </c>
      <c r="R26" s="38">
        <f t="shared" si="4"/>
        <v>0</v>
      </c>
      <c r="S26" s="38">
        <f t="shared" ca="1" si="5"/>
        <v>0</v>
      </c>
      <c r="T26" s="16" t="str">
        <f t="shared" si="6"/>
        <v>Leistungswert eintragen</v>
      </c>
    </row>
    <row r="27" spans="1:20" ht="15" customHeight="1" x14ac:dyDescent="0.2">
      <c r="A27" s="78">
        <v>6</v>
      </c>
      <c r="B27" s="88">
        <v>141</v>
      </c>
      <c r="C27" s="89" t="s">
        <v>276</v>
      </c>
      <c r="D27" s="89"/>
      <c r="E27" s="89" t="s">
        <v>294</v>
      </c>
      <c r="F27" s="89" t="s">
        <v>295</v>
      </c>
      <c r="G27" s="97">
        <v>405</v>
      </c>
      <c r="H27" s="97"/>
      <c r="I27" s="78"/>
      <c r="J27" s="78" t="s">
        <v>317</v>
      </c>
      <c r="K27" s="78" t="s">
        <v>163</v>
      </c>
      <c r="L27" s="38">
        <f>VLOOKUP(K27,Reinigungstage!$A$10:$K$31,11,FALSE)</f>
        <v>5</v>
      </c>
      <c r="M27" s="38">
        <f t="shared" si="0"/>
        <v>2025</v>
      </c>
      <c r="N27" s="92">
        <f t="shared" si="1"/>
        <v>0</v>
      </c>
      <c r="O27" s="38">
        <f ca="1">IF('SVS Sonderreinigung'!$H$61="",0,'SVS Sonderreinigung'!$H$61)</f>
        <v>0</v>
      </c>
      <c r="P27" s="38">
        <f t="shared" si="2"/>
        <v>0</v>
      </c>
      <c r="Q27" s="38">
        <f t="shared" ca="1" si="3"/>
        <v>0</v>
      </c>
      <c r="R27" s="38">
        <f t="shared" si="4"/>
        <v>0</v>
      </c>
      <c r="S27" s="38">
        <f t="shared" ca="1" si="5"/>
        <v>0</v>
      </c>
      <c r="T27" s="16" t="str">
        <f t="shared" si="6"/>
        <v>Leistungswert eintragen</v>
      </c>
    </row>
    <row r="28" spans="1:20" ht="15" customHeight="1" x14ac:dyDescent="0.2">
      <c r="A28" s="78">
        <v>7</v>
      </c>
      <c r="B28" s="88">
        <v>153</v>
      </c>
      <c r="C28" s="89" t="s">
        <v>276</v>
      </c>
      <c r="D28" s="89"/>
      <c r="E28" s="89" t="s">
        <v>298</v>
      </c>
      <c r="F28" s="89" t="s">
        <v>227</v>
      </c>
      <c r="G28" s="97">
        <v>9.51</v>
      </c>
      <c r="H28" s="97"/>
      <c r="I28" s="78"/>
      <c r="J28" s="78" t="s">
        <v>312</v>
      </c>
      <c r="K28" s="78" t="s">
        <v>163</v>
      </c>
      <c r="L28" s="38">
        <f>VLOOKUP(K28,Reinigungstage!$A$10:$K$31,11,FALSE)</f>
        <v>5</v>
      </c>
      <c r="M28" s="38">
        <f t="shared" si="0"/>
        <v>47.55</v>
      </c>
      <c r="N28" s="92">
        <f t="shared" si="1"/>
        <v>0</v>
      </c>
      <c r="O28" s="38">
        <f ca="1">IF('SVS Sonderreinigung'!$H$61="",0,'SVS Sonderreinigung'!$H$61)</f>
        <v>0</v>
      </c>
      <c r="P28" s="38">
        <f t="shared" si="2"/>
        <v>0</v>
      </c>
      <c r="Q28" s="38">
        <f t="shared" ca="1" si="3"/>
        <v>0</v>
      </c>
      <c r="R28" s="38">
        <f t="shared" si="4"/>
        <v>0</v>
      </c>
      <c r="S28" s="38">
        <f t="shared" ca="1" si="5"/>
        <v>0</v>
      </c>
      <c r="T28" s="16" t="str">
        <f t="shared" si="6"/>
        <v>Leistungswert eintragen</v>
      </c>
    </row>
    <row r="29" spans="1:20" ht="15" customHeight="1" x14ac:dyDescent="0.2">
      <c r="A29" s="78">
        <v>8</v>
      </c>
      <c r="B29" s="88">
        <v>154</v>
      </c>
      <c r="C29" s="89" t="s">
        <v>276</v>
      </c>
      <c r="D29" s="89"/>
      <c r="E29" s="89" t="s">
        <v>299</v>
      </c>
      <c r="F29" s="89" t="s">
        <v>227</v>
      </c>
      <c r="G29" s="97">
        <v>2.99</v>
      </c>
      <c r="H29" s="97"/>
      <c r="I29" s="78"/>
      <c r="J29" s="78" t="s">
        <v>312</v>
      </c>
      <c r="K29" s="78" t="s">
        <v>163</v>
      </c>
      <c r="L29" s="38">
        <f>VLOOKUP(K29,Reinigungstage!$A$10:$K$31,11,FALSE)</f>
        <v>5</v>
      </c>
      <c r="M29" s="38">
        <f t="shared" si="0"/>
        <v>14.95</v>
      </c>
      <c r="N29" s="92">
        <f t="shared" si="1"/>
        <v>0</v>
      </c>
      <c r="O29" s="38">
        <f ca="1">IF('SVS Sonderreinigung'!$H$61="",0,'SVS Sonderreinigung'!$H$61)</f>
        <v>0</v>
      </c>
      <c r="P29" s="38">
        <f t="shared" si="2"/>
        <v>0</v>
      </c>
      <c r="Q29" s="38">
        <f t="shared" ca="1" si="3"/>
        <v>0</v>
      </c>
      <c r="R29" s="38">
        <f t="shared" si="4"/>
        <v>0</v>
      </c>
      <c r="S29" s="38">
        <f t="shared" ca="1" si="5"/>
        <v>0</v>
      </c>
      <c r="T29" s="16" t="str">
        <f t="shared" si="6"/>
        <v>Leistungswert eintragen</v>
      </c>
    </row>
    <row r="30" spans="1:20" ht="15" customHeight="1" x14ac:dyDescent="0.2">
      <c r="A30" s="78">
        <v>9</v>
      </c>
      <c r="B30" s="88">
        <v>155</v>
      </c>
      <c r="C30" s="89" t="s">
        <v>276</v>
      </c>
      <c r="D30" s="89"/>
      <c r="E30" s="89" t="s">
        <v>299</v>
      </c>
      <c r="F30" s="89" t="s">
        <v>227</v>
      </c>
      <c r="G30" s="97">
        <v>2.86</v>
      </c>
      <c r="H30" s="97"/>
      <c r="I30" s="78"/>
      <c r="J30" s="78" t="s">
        <v>312</v>
      </c>
      <c r="K30" s="78" t="s">
        <v>163</v>
      </c>
      <c r="L30" s="38">
        <f>VLOOKUP(K30,Reinigungstage!$A$10:$K$31,11,FALSE)</f>
        <v>5</v>
      </c>
      <c r="M30" s="38">
        <f t="shared" si="0"/>
        <v>14.3</v>
      </c>
      <c r="N30" s="92">
        <f t="shared" si="1"/>
        <v>0</v>
      </c>
      <c r="O30" s="38">
        <f ca="1">IF('SVS Sonderreinigung'!$H$61="",0,'SVS Sonderreinigung'!$H$61)</f>
        <v>0</v>
      </c>
      <c r="P30" s="38">
        <f t="shared" si="2"/>
        <v>0</v>
      </c>
      <c r="Q30" s="38">
        <f t="shared" ca="1" si="3"/>
        <v>0</v>
      </c>
      <c r="R30" s="38">
        <f t="shared" si="4"/>
        <v>0</v>
      </c>
      <c r="S30" s="38">
        <f t="shared" ca="1" si="5"/>
        <v>0</v>
      </c>
      <c r="T30" s="16" t="str">
        <f t="shared" si="6"/>
        <v>Leistungswert eintragen</v>
      </c>
    </row>
    <row r="31" spans="1:20" ht="15" customHeight="1" x14ac:dyDescent="0.2">
      <c r="A31" s="78">
        <v>10</v>
      </c>
      <c r="B31" s="88">
        <v>156</v>
      </c>
      <c r="C31" s="89" t="s">
        <v>276</v>
      </c>
      <c r="D31" s="89"/>
      <c r="E31" s="89" t="s">
        <v>300</v>
      </c>
      <c r="F31" s="89" t="s">
        <v>227</v>
      </c>
      <c r="G31" s="97">
        <v>10.44</v>
      </c>
      <c r="H31" s="97"/>
      <c r="I31" s="78"/>
      <c r="J31" s="78" t="s">
        <v>316</v>
      </c>
      <c r="K31" s="78" t="s">
        <v>163</v>
      </c>
      <c r="L31" s="38">
        <f>VLOOKUP(K31,Reinigungstage!$A$10:$K$31,11,FALSE)</f>
        <v>5</v>
      </c>
      <c r="M31" s="38">
        <f t="shared" si="0"/>
        <v>52.2</v>
      </c>
      <c r="N31" s="92">
        <f t="shared" si="1"/>
        <v>0</v>
      </c>
      <c r="O31" s="38">
        <f ca="1">IF('SVS Sonderreinigung'!$H$61="",0,'SVS Sonderreinigung'!$H$61)</f>
        <v>0</v>
      </c>
      <c r="P31" s="38">
        <f t="shared" si="2"/>
        <v>0</v>
      </c>
      <c r="Q31" s="38">
        <f t="shared" ca="1" si="3"/>
        <v>0</v>
      </c>
      <c r="R31" s="38">
        <f t="shared" si="4"/>
        <v>0</v>
      </c>
      <c r="S31" s="38">
        <f t="shared" ca="1" si="5"/>
        <v>0</v>
      </c>
      <c r="T31" s="16" t="str">
        <f t="shared" si="6"/>
        <v>Leistungswert eintragen</v>
      </c>
    </row>
    <row r="32" spans="1:20" ht="15" customHeight="1" x14ac:dyDescent="0.2">
      <c r="A32" s="78">
        <v>11</v>
      </c>
      <c r="B32" s="88">
        <v>157</v>
      </c>
      <c r="C32" s="89" t="s">
        <v>276</v>
      </c>
      <c r="D32" s="89"/>
      <c r="E32" s="89" t="s">
        <v>301</v>
      </c>
      <c r="F32" s="89" t="s">
        <v>227</v>
      </c>
      <c r="G32" s="97">
        <v>12.92</v>
      </c>
      <c r="H32" s="97"/>
      <c r="I32" s="78"/>
      <c r="J32" s="78" t="s">
        <v>312</v>
      </c>
      <c r="K32" s="78" t="s">
        <v>163</v>
      </c>
      <c r="L32" s="38">
        <f>VLOOKUP(K32,Reinigungstage!$A$10:$K$31,11,FALSE)</f>
        <v>5</v>
      </c>
      <c r="M32" s="38">
        <f t="shared" si="0"/>
        <v>64.599999999999994</v>
      </c>
      <c r="N32" s="92">
        <f t="shared" si="1"/>
        <v>0</v>
      </c>
      <c r="O32" s="38">
        <f ca="1">IF('SVS Sonderreinigung'!$H$61="",0,'SVS Sonderreinigung'!$H$61)</f>
        <v>0</v>
      </c>
      <c r="P32" s="38">
        <f t="shared" si="2"/>
        <v>0</v>
      </c>
      <c r="Q32" s="38">
        <f t="shared" ca="1" si="3"/>
        <v>0</v>
      </c>
      <c r="R32" s="38">
        <f t="shared" si="4"/>
        <v>0</v>
      </c>
      <c r="S32" s="38">
        <f t="shared" ca="1" si="5"/>
        <v>0</v>
      </c>
      <c r="T32" s="16" t="str">
        <f t="shared" si="6"/>
        <v>Leistungswert eintragen</v>
      </c>
    </row>
    <row r="33" spans="1:20" ht="15" customHeight="1" x14ac:dyDescent="0.2">
      <c r="A33" s="78">
        <v>12</v>
      </c>
      <c r="B33" s="88">
        <v>158</v>
      </c>
      <c r="C33" s="89" t="s">
        <v>276</v>
      </c>
      <c r="D33" s="89"/>
      <c r="E33" s="89" t="s">
        <v>302</v>
      </c>
      <c r="F33" s="89" t="s">
        <v>227</v>
      </c>
      <c r="G33" s="97">
        <v>10.58</v>
      </c>
      <c r="H33" s="97"/>
      <c r="I33" s="78"/>
      <c r="J33" s="78" t="s">
        <v>316</v>
      </c>
      <c r="K33" s="78" t="s">
        <v>163</v>
      </c>
      <c r="L33" s="38">
        <f>VLOOKUP(K33,Reinigungstage!$A$10:$K$31,11,FALSE)</f>
        <v>5</v>
      </c>
      <c r="M33" s="38">
        <f t="shared" si="0"/>
        <v>52.9</v>
      </c>
      <c r="N33" s="92">
        <f t="shared" si="1"/>
        <v>0</v>
      </c>
      <c r="O33" s="38">
        <f ca="1">IF('SVS Sonderreinigung'!$H$61="",0,'SVS Sonderreinigung'!$H$61)</f>
        <v>0</v>
      </c>
      <c r="P33" s="38">
        <f t="shared" si="2"/>
        <v>0</v>
      </c>
      <c r="Q33" s="38">
        <f t="shared" ca="1" si="3"/>
        <v>0</v>
      </c>
      <c r="R33" s="38">
        <f t="shared" si="4"/>
        <v>0</v>
      </c>
      <c r="S33" s="38">
        <f t="shared" ca="1" si="5"/>
        <v>0</v>
      </c>
      <c r="T33" s="16" t="str">
        <f t="shared" si="6"/>
        <v>Leistungswert eintragen</v>
      </c>
    </row>
    <row r="34" spans="1:20" ht="15" customHeight="1" x14ac:dyDescent="0.2">
      <c r="A34" s="78">
        <v>13</v>
      </c>
      <c r="B34" s="88">
        <v>159</v>
      </c>
      <c r="C34" s="89" t="s">
        <v>276</v>
      </c>
      <c r="D34" s="89"/>
      <c r="E34" s="89" t="s">
        <v>303</v>
      </c>
      <c r="F34" s="89" t="s">
        <v>227</v>
      </c>
      <c r="G34" s="97">
        <v>13.1</v>
      </c>
      <c r="H34" s="97"/>
      <c r="I34" s="78"/>
      <c r="J34" s="78" t="s">
        <v>312</v>
      </c>
      <c r="K34" s="78" t="s">
        <v>163</v>
      </c>
      <c r="L34" s="38">
        <f>VLOOKUP(K34,Reinigungstage!$A$10:$K$31,11,FALSE)</f>
        <v>5</v>
      </c>
      <c r="M34" s="38">
        <f t="shared" si="0"/>
        <v>65.5</v>
      </c>
      <c r="N34" s="92">
        <f t="shared" si="1"/>
        <v>0</v>
      </c>
      <c r="O34" s="38">
        <f ca="1">IF('SVS Sonderreinigung'!$H$61="",0,'SVS Sonderreinigung'!$H$61)</f>
        <v>0</v>
      </c>
      <c r="P34" s="38">
        <f t="shared" si="2"/>
        <v>0</v>
      </c>
      <c r="Q34" s="38">
        <f t="shared" ca="1" si="3"/>
        <v>0</v>
      </c>
      <c r="R34" s="38">
        <f t="shared" si="4"/>
        <v>0</v>
      </c>
      <c r="S34" s="38">
        <f t="shared" ca="1" si="5"/>
        <v>0</v>
      </c>
      <c r="T34" s="16" t="str">
        <f t="shared" si="6"/>
        <v>Leistungswert eintragen</v>
      </c>
    </row>
    <row r="36" spans="1:20" ht="15" customHeight="1" x14ac:dyDescent="0.2">
      <c r="N36" s="98" t="s">
        <v>418</v>
      </c>
      <c r="O36" s="99">
        <f ca="1">IF('SVS Sonderreinigung'!$H$61="",0,'SVS Sonderreinigung'!$H$61)</f>
        <v>0</v>
      </c>
    </row>
    <row r="37" spans="1:20" ht="15" customHeight="1" x14ac:dyDescent="0.2">
      <c r="N37" s="100" t="s">
        <v>417</v>
      </c>
      <c r="O37" s="43">
        <f ca="1">IF('SVS Sonderreinigung'!$N$27="",0,'SVS Sonderreinigung'!$N$27)</f>
        <v>0</v>
      </c>
    </row>
    <row r="38" spans="1:20" ht="15" customHeight="1" x14ac:dyDescent="0.2">
      <c r="N38" s="100" t="s">
        <v>415</v>
      </c>
      <c r="O38" s="43">
        <f ca="1">IF('SVS Sonderreinigung'!$O$27="",0,'SVS Sonderreinigung'!$O$27)</f>
        <v>0</v>
      </c>
    </row>
    <row r="39" spans="1:20" ht="15" customHeight="1" x14ac:dyDescent="0.2">
      <c r="N39" s="100" t="s">
        <v>416</v>
      </c>
      <c r="O39" s="43">
        <f ca="1">IF('SVS Sonderreinigung'!$P$27="",0,'SVS Sonderreinigung'!$P$27)</f>
        <v>0</v>
      </c>
    </row>
    <row r="49" s="16" customFormat="1" ht="15" customHeight="1" x14ac:dyDescent="0.2"/>
    <row r="50" s="16" customFormat="1" ht="15" customHeight="1" x14ac:dyDescent="0.2"/>
    <row r="51" s="16" customFormat="1" ht="15" customHeight="1" x14ac:dyDescent="0.2"/>
    <row r="52" s="16" customFormat="1" ht="15" customHeight="1" x14ac:dyDescent="0.2"/>
    <row r="53" s="16" customFormat="1" ht="15" customHeight="1" x14ac:dyDescent="0.2"/>
    <row r="54" s="16" customFormat="1" ht="15" customHeight="1" x14ac:dyDescent="0.2"/>
    <row r="55" s="16" customFormat="1" ht="15" customHeight="1" x14ac:dyDescent="0.2"/>
    <row r="56" s="16" customFormat="1" ht="15" customHeight="1" x14ac:dyDescent="0.2"/>
    <row r="57" s="16" customFormat="1" ht="15" customHeight="1" x14ac:dyDescent="0.2"/>
    <row r="58" s="16" customFormat="1" ht="15" customHeight="1" x14ac:dyDescent="0.2"/>
    <row r="59" s="16" customFormat="1" ht="15" customHeight="1" x14ac:dyDescent="0.2"/>
    <row r="60" s="16" customFormat="1" ht="15" customHeight="1" x14ac:dyDescent="0.2"/>
    <row r="61" s="16" customFormat="1" ht="15" customHeight="1" x14ac:dyDescent="0.2"/>
    <row r="62" s="16" customFormat="1" ht="15" customHeight="1" x14ac:dyDescent="0.2"/>
    <row r="63" s="16" customFormat="1" ht="15" customHeight="1" x14ac:dyDescent="0.2"/>
    <row r="64" s="16" customFormat="1" ht="15" customHeight="1" x14ac:dyDescent="0.2"/>
    <row r="65" s="16" customFormat="1" ht="15" customHeight="1" x14ac:dyDescent="0.2"/>
    <row r="66" s="16" customFormat="1" ht="15" customHeight="1" x14ac:dyDescent="0.2"/>
    <row r="67" s="16" customFormat="1" ht="15" customHeight="1" x14ac:dyDescent="0.2"/>
    <row r="68" s="16" customFormat="1" ht="15" customHeight="1" x14ac:dyDescent="0.2"/>
    <row r="69" s="16" customFormat="1" ht="15" customHeight="1" x14ac:dyDescent="0.2"/>
    <row r="70" s="16" customFormat="1" ht="15" customHeight="1" x14ac:dyDescent="0.2"/>
    <row r="71" s="16" customFormat="1" ht="15" customHeight="1" x14ac:dyDescent="0.2"/>
    <row r="72" s="16" customFormat="1" ht="15" customHeight="1" x14ac:dyDescent="0.2"/>
    <row r="73" s="16" customFormat="1" ht="15" customHeight="1" x14ac:dyDescent="0.2"/>
    <row r="74" s="16" customFormat="1" ht="15" customHeight="1" x14ac:dyDescent="0.2"/>
    <row r="75" s="16" customFormat="1" ht="15" customHeight="1" x14ac:dyDescent="0.2"/>
    <row r="76" s="16" customFormat="1" ht="15" customHeight="1" x14ac:dyDescent="0.2"/>
    <row r="77" s="16" customFormat="1" ht="15" customHeight="1" x14ac:dyDescent="0.2"/>
    <row r="78" s="16" customFormat="1" ht="15" customHeight="1" x14ac:dyDescent="0.2"/>
    <row r="79" s="16" customFormat="1" ht="15" customHeight="1" x14ac:dyDescent="0.2"/>
    <row r="80" s="16" customFormat="1" ht="15" customHeight="1" x14ac:dyDescent="0.2"/>
    <row r="81" s="16" customFormat="1" ht="15" customHeight="1" x14ac:dyDescent="0.2"/>
    <row r="82" s="16" customFormat="1" ht="15" customHeight="1" x14ac:dyDescent="0.2"/>
    <row r="83" s="16" customFormat="1" ht="15" customHeight="1" x14ac:dyDescent="0.2"/>
    <row r="84" s="16" customFormat="1" ht="15" customHeight="1" x14ac:dyDescent="0.2"/>
    <row r="85" s="16" customFormat="1" ht="15" customHeight="1" x14ac:dyDescent="0.2"/>
    <row r="86" s="16" customFormat="1" ht="15" customHeight="1" x14ac:dyDescent="0.2"/>
    <row r="87" s="16" customFormat="1" ht="15" customHeight="1" x14ac:dyDescent="0.2"/>
    <row r="88" s="16" customFormat="1" ht="15" customHeight="1" x14ac:dyDescent="0.2"/>
    <row r="89" s="16" customFormat="1" ht="15" customHeight="1" x14ac:dyDescent="0.2"/>
    <row r="90" s="16" customFormat="1" ht="15" customHeight="1" x14ac:dyDescent="0.2"/>
    <row r="91" s="16" customFormat="1" ht="15" customHeight="1" x14ac:dyDescent="0.2"/>
    <row r="92" s="16" customFormat="1" ht="15" customHeight="1" x14ac:dyDescent="0.2"/>
    <row r="93" s="16" customFormat="1" ht="15" customHeight="1" x14ac:dyDescent="0.2"/>
    <row r="94" s="16" customFormat="1" ht="15" customHeight="1" x14ac:dyDescent="0.2"/>
    <row r="95" s="16" customFormat="1" ht="15" customHeight="1" x14ac:dyDescent="0.2"/>
    <row r="96" s="16" customFormat="1" ht="15" customHeight="1" x14ac:dyDescent="0.2"/>
    <row r="97" s="16" customFormat="1" ht="15" customHeight="1" x14ac:dyDescent="0.2"/>
    <row r="98" s="16" customFormat="1" ht="15" customHeight="1" x14ac:dyDescent="0.2"/>
    <row r="99" s="16" customFormat="1" ht="15" customHeight="1" x14ac:dyDescent="0.2"/>
    <row r="100" s="16" customFormat="1" ht="15" customHeight="1" x14ac:dyDescent="0.2"/>
    <row r="101" s="16" customFormat="1" ht="15" customHeight="1" x14ac:dyDescent="0.2"/>
    <row r="102" s="16" customFormat="1" ht="15" customHeight="1" x14ac:dyDescent="0.2"/>
    <row r="103" s="16" customFormat="1" ht="15" customHeight="1" x14ac:dyDescent="0.2"/>
    <row r="104" s="16" customFormat="1" ht="15" customHeight="1" x14ac:dyDescent="0.2"/>
    <row r="105" s="16" customFormat="1" ht="15" customHeight="1" x14ac:dyDescent="0.2"/>
    <row r="106" s="16" customFormat="1" ht="15" customHeight="1" x14ac:dyDescent="0.2"/>
    <row r="107" s="16" customFormat="1" ht="15" customHeight="1" x14ac:dyDescent="0.2"/>
    <row r="108" s="16" customFormat="1" ht="15" customHeight="1" x14ac:dyDescent="0.2"/>
    <row r="109" s="16" customFormat="1" ht="15" customHeight="1" x14ac:dyDescent="0.2"/>
    <row r="110" s="16" customFormat="1" ht="15" customHeight="1" x14ac:dyDescent="0.2"/>
    <row r="111" s="16" customFormat="1" ht="15" customHeight="1" x14ac:dyDescent="0.2"/>
    <row r="112" s="16" customFormat="1" ht="15" customHeight="1" x14ac:dyDescent="0.2"/>
    <row r="113" s="16" customFormat="1" ht="15" customHeight="1" x14ac:dyDescent="0.2"/>
    <row r="114" s="16" customFormat="1" ht="15" customHeight="1" x14ac:dyDescent="0.2"/>
    <row r="115" s="16" customFormat="1" ht="15" customHeight="1" x14ac:dyDescent="0.2"/>
    <row r="116" s="16" customFormat="1" ht="15" customHeight="1" x14ac:dyDescent="0.2"/>
    <row r="117" s="16" customFormat="1" ht="15" customHeight="1" x14ac:dyDescent="0.2"/>
    <row r="118" s="16" customFormat="1" ht="15" customHeight="1" x14ac:dyDescent="0.2"/>
    <row r="119" s="16" customFormat="1" ht="15" customHeight="1" x14ac:dyDescent="0.2"/>
    <row r="120" s="16" customFormat="1" ht="15" customHeight="1" x14ac:dyDescent="0.2"/>
    <row r="121" s="16" customFormat="1" ht="15" customHeight="1" x14ac:dyDescent="0.2"/>
    <row r="122" s="16" customFormat="1" ht="15" customHeight="1" x14ac:dyDescent="0.2"/>
    <row r="123" s="16" customFormat="1" ht="15" customHeight="1" x14ac:dyDescent="0.2"/>
    <row r="124" s="16" customFormat="1" ht="15" customHeight="1" x14ac:dyDescent="0.2"/>
    <row r="125" s="16" customFormat="1" ht="15" customHeight="1" x14ac:dyDescent="0.2"/>
    <row r="126" s="16" customFormat="1" ht="15" customHeight="1" x14ac:dyDescent="0.2"/>
    <row r="127" s="16" customFormat="1" ht="15" customHeight="1" x14ac:dyDescent="0.2"/>
    <row r="128" s="16" customFormat="1" ht="15" customHeight="1" x14ac:dyDescent="0.2"/>
    <row r="129" s="16" customFormat="1" ht="15" customHeight="1" x14ac:dyDescent="0.2"/>
    <row r="130" s="16" customFormat="1" ht="15" customHeight="1" x14ac:dyDescent="0.2"/>
    <row r="131" s="16" customFormat="1" ht="15" customHeight="1" x14ac:dyDescent="0.2"/>
    <row r="132" s="16" customFormat="1" ht="15" customHeight="1" x14ac:dyDescent="0.2"/>
    <row r="133" s="16" customFormat="1" ht="15" customHeight="1" x14ac:dyDescent="0.2"/>
    <row r="134" s="16" customFormat="1" ht="15" customHeight="1" x14ac:dyDescent="0.2"/>
    <row r="135" s="16" customFormat="1" ht="15" customHeight="1" x14ac:dyDescent="0.2"/>
    <row r="136" s="16" customFormat="1" ht="15" customHeight="1" x14ac:dyDescent="0.2"/>
    <row r="137" s="16" customFormat="1" ht="15" customHeight="1" x14ac:dyDescent="0.2"/>
    <row r="138" s="16" customFormat="1" ht="15" customHeight="1" x14ac:dyDescent="0.2"/>
    <row r="139" s="16" customFormat="1" ht="15" customHeight="1" x14ac:dyDescent="0.2"/>
    <row r="140" s="16" customFormat="1" ht="15" customHeight="1" x14ac:dyDescent="0.2"/>
    <row r="141" s="16" customFormat="1" ht="15" customHeight="1" x14ac:dyDescent="0.2"/>
    <row r="142" s="16" customFormat="1" ht="15" customHeight="1" x14ac:dyDescent="0.2"/>
    <row r="143" s="16" customFormat="1" ht="15" customHeight="1" x14ac:dyDescent="0.2"/>
    <row r="144" s="16" customFormat="1" ht="15" customHeight="1" x14ac:dyDescent="0.2"/>
    <row r="145" s="16" customFormat="1" ht="15" customHeight="1" x14ac:dyDescent="0.2"/>
    <row r="146" s="16" customFormat="1" ht="15" customHeight="1" x14ac:dyDescent="0.2"/>
    <row r="147" s="16" customFormat="1" ht="15" customHeight="1" x14ac:dyDescent="0.2"/>
    <row r="148" s="16" customFormat="1" ht="15" customHeight="1" x14ac:dyDescent="0.2"/>
    <row r="149" s="16" customFormat="1" ht="15" customHeight="1" x14ac:dyDescent="0.2"/>
    <row r="150" s="16" customFormat="1" ht="15" customHeight="1" x14ac:dyDescent="0.2"/>
    <row r="151" s="16" customFormat="1" ht="15" customHeight="1" x14ac:dyDescent="0.2"/>
    <row r="152" s="16" customFormat="1" ht="15" customHeight="1" x14ac:dyDescent="0.2"/>
    <row r="153" s="16" customFormat="1" ht="15" customHeight="1" x14ac:dyDescent="0.2"/>
    <row r="154" s="16" customFormat="1" ht="15" customHeight="1" x14ac:dyDescent="0.2"/>
    <row r="155" s="16" customFormat="1" ht="15" customHeight="1" x14ac:dyDescent="0.2"/>
    <row r="156" s="16" customFormat="1" ht="15" customHeight="1" x14ac:dyDescent="0.2"/>
  </sheetData>
  <sheetProtection algorithmName="SHA-512" hashValue="gR+keqQl15FkIy0Sir9a/V6eKZg+dTJkXtW3i8avrkbBBNoSaab9XSM1YBRnG4+8F7dmIiyUiDHAEoIu0jkOXQ==" saltValue="FwS7Hll1Ub5lxVqGxxmRYw==" spinCount="100000" sheet="1" objects="1" scenarios="1"/>
  <mergeCells count="16">
    <mergeCell ref="N2:Q5"/>
    <mergeCell ref="A4:A5"/>
    <mergeCell ref="B4:E5"/>
    <mergeCell ref="A2:E2"/>
    <mergeCell ref="G2:G3"/>
    <mergeCell ref="H2:H3"/>
    <mergeCell ref="I2:I3"/>
    <mergeCell ref="J2:J3"/>
    <mergeCell ref="B12:E12"/>
    <mergeCell ref="B13:E13"/>
    <mergeCell ref="B6:E6"/>
    <mergeCell ref="B7:E7"/>
    <mergeCell ref="B8:E8"/>
    <mergeCell ref="B9:E9"/>
    <mergeCell ref="B10:E10"/>
    <mergeCell ref="B11:E11"/>
  </mergeCells>
  <conditionalFormatting sqref="N22:N34">
    <cfRule type="expression" dxfId="23" priority="1">
      <formula>V22=0</formula>
    </cfRule>
    <cfRule type="expression" dxfId="22" priority="2" stopIfTrue="1">
      <formula>V22=1</formula>
    </cfRule>
  </conditionalFormatting>
  <conditionalFormatting sqref="T22:T34">
    <cfRule type="containsText" dxfId="21" priority="7" stopIfTrue="1" operator="containsText" text="SVS prüfen">
      <formula>NOT(ISERROR(SEARCH("SVS prüfen",T22)))</formula>
    </cfRule>
    <cfRule type="containsText" dxfId="20" priority="8" stopIfTrue="1" operator="containsText" text="Leistungswert eintragen">
      <formula>NOT(ISERROR(SEARCH("Leistungswert eintragen",T22)))</formula>
    </cfRule>
  </conditionalFormatting>
  <hyperlinks>
    <hyperlink ref="M1" location="Inhaltsverzeichnis!A1" display="Zurück zum Inhaltsverzeichnis" xr:uid="{5AEB7F0E-75A7-4184-BF7A-B9D1F4E72B9B}"/>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Sonder Bed GS Zeesen</oddFooter>
  </headerFooter>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Check Box 1">
              <controlPr defaultSize="0" autoFill="0" autoLine="0" autoPict="0">
                <anchor moveWithCells="1" sizeWithCells="1">
                  <from>
                    <xdr:col>11</xdr:col>
                    <xdr:colOff>552450</xdr:colOff>
                    <xdr:row>0</xdr:row>
                    <xdr:rowOff>180975</xdr:rowOff>
                  </from>
                  <to>
                    <xdr:col>12</xdr:col>
                    <xdr:colOff>771525</xdr:colOff>
                    <xdr:row>1</xdr:row>
                    <xdr:rowOff>238125</xdr:rowOff>
                  </to>
                </anchor>
              </controlPr>
            </control>
          </mc:Choice>
        </mc:AlternateContent>
        <mc:AlternateContent xmlns:mc="http://schemas.openxmlformats.org/markup-compatibility/2006">
          <mc:Choice Requires="x14">
            <control shapeId="113666" r:id="rId5" name="Check Box 2">
              <controlPr defaultSize="0" autoFill="0" autoLine="0" autoPict="0" altText="Hinweis 2">
                <anchor moveWithCells="1" sizeWithCells="1">
                  <from>
                    <xdr:col>11</xdr:col>
                    <xdr:colOff>552450</xdr:colOff>
                    <xdr:row>1</xdr:row>
                    <xdr:rowOff>238125</xdr:rowOff>
                  </from>
                  <to>
                    <xdr:col>12</xdr:col>
                    <xdr:colOff>771525</xdr:colOff>
                    <xdr:row>2</xdr:row>
                    <xdr:rowOff>219075</xdr:rowOff>
                  </to>
                </anchor>
              </controlPr>
            </control>
          </mc:Choice>
        </mc:AlternateContent>
        <mc:AlternateContent xmlns:mc="http://schemas.openxmlformats.org/markup-compatibility/2006">
          <mc:Choice Requires="x14">
            <control shapeId="113667" r:id="rId6" name="Check Box 3">
              <controlPr defaultSize="0" autoFill="0" autoLine="0" autoPict="0" altText="Hinweis 3">
                <anchor moveWithCells="1" sizeWithCells="1">
                  <from>
                    <xdr:col>11</xdr:col>
                    <xdr:colOff>552450</xdr:colOff>
                    <xdr:row>2</xdr:row>
                    <xdr:rowOff>228600</xdr:rowOff>
                  </from>
                  <to>
                    <xdr:col>12</xdr:col>
                    <xdr:colOff>771525</xdr:colOff>
                    <xdr:row>4</xdr:row>
                    <xdr:rowOff>9525</xdr:rowOff>
                  </to>
                </anchor>
              </controlPr>
            </control>
          </mc:Choice>
        </mc:AlternateContent>
        <mc:AlternateContent xmlns:mc="http://schemas.openxmlformats.org/markup-compatibility/2006">
          <mc:Choice Requires="x14">
            <control shapeId="113668" r:id="rId7" name="Check Box 4">
              <controlPr defaultSize="0" autoFill="0" autoLine="0" autoPict="0" altText="Hinweis 3">
                <anchor moveWithCells="1" sizeWithCells="1">
                  <from>
                    <xdr:col>11</xdr:col>
                    <xdr:colOff>552450</xdr:colOff>
                    <xdr:row>4</xdr:row>
                    <xdr:rowOff>19050</xdr:rowOff>
                  </from>
                  <to>
                    <xdr:col>12</xdr:col>
                    <xdr:colOff>771525</xdr:colOff>
                    <xdr:row>5</xdr:row>
                    <xdr:rowOff>76200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6952-2CCC-405C-9EE7-3D794CCB3785}">
  <sheetPr>
    <tabColor rgb="FF800000"/>
  </sheetPr>
  <dimension ref="A1:V44"/>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7109375" style="16" customWidth="1"/>
    <col min="2" max="2" width="7.7109375" style="16" customWidth="1"/>
    <col min="3" max="3" width="6.7109375" style="16" customWidth="1"/>
    <col min="4" max="4" width="8.28515625" style="16" customWidth="1"/>
    <col min="5" max="5" width="21.7109375" style="16" customWidth="1"/>
    <col min="6" max="6" width="13.5703125" style="16" bestFit="1"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2.140625" style="16" customWidth="1"/>
    <col min="14" max="14" width="9.42578125" style="16" customWidth="1"/>
    <col min="15" max="15" width="8.42578125" style="16" customWidth="1"/>
    <col min="16" max="17" width="11.42578125" style="16" customWidth="1"/>
    <col min="18" max="19" width="11.28515625" style="16" customWidth="1"/>
    <col min="20" max="20" width="22.85546875" style="16" customWidth="1"/>
    <col min="21" max="16384" width="11.42578125" style="16" hidden="1"/>
  </cols>
  <sheetData>
    <row r="1" spans="1:22" ht="15" customHeight="1" x14ac:dyDescent="0.2">
      <c r="M1" s="1" t="s">
        <v>100</v>
      </c>
    </row>
    <row r="2" spans="1:22" ht="21" customHeight="1" x14ac:dyDescent="0.2">
      <c r="A2" s="167" t="s">
        <v>172</v>
      </c>
      <c r="B2" s="168"/>
      <c r="C2" s="168"/>
      <c r="D2" s="168" t="b">
        <v>0</v>
      </c>
      <c r="E2" s="169"/>
      <c r="G2" s="170" t="s">
        <v>185</v>
      </c>
      <c r="H2" s="170" t="s">
        <v>177</v>
      </c>
      <c r="I2" s="170" t="s">
        <v>178</v>
      </c>
      <c r="J2" s="170" t="s">
        <v>197</v>
      </c>
      <c r="M2" s="8" t="b">
        <v>0</v>
      </c>
      <c r="N2" s="175" t="str">
        <f>IF(M2=TRUE,"Hier sind die Leistungswerte für die Teilreinigung in die gelben Zellen einzufügen. Beachten Sie die im Leistungsverzeichnis vorgegebenen Leistungen," &amp; " um die richtigen Leistungswerte zu finden. Sie können erheblich von den Werten der normalen Unterhaltsreinigung abweichen.","")</f>
        <v/>
      </c>
      <c r="O2" s="175"/>
      <c r="P2" s="175"/>
      <c r="Q2" s="175"/>
      <c r="R2" s="175"/>
    </row>
    <row r="3" spans="1:22" ht="21" customHeight="1" x14ac:dyDescent="0.2">
      <c r="A3" s="75" t="s">
        <v>419</v>
      </c>
      <c r="B3" s="76"/>
      <c r="C3" s="76"/>
      <c r="D3" s="76"/>
      <c r="E3" s="77"/>
      <c r="G3" s="171"/>
      <c r="H3" s="171" t="b">
        <v>0</v>
      </c>
      <c r="I3" s="171"/>
      <c r="J3" s="171"/>
      <c r="M3" s="8"/>
      <c r="N3" s="175"/>
      <c r="O3" s="175"/>
      <c r="P3" s="175"/>
      <c r="Q3" s="175"/>
      <c r="R3" s="175"/>
    </row>
    <row r="4" spans="1:22" ht="15" customHeight="1" x14ac:dyDescent="0.2">
      <c r="A4" s="165" t="s">
        <v>91</v>
      </c>
      <c r="B4" s="153" t="str">
        <f>IF(Inhaltsverzeichnis!C3="","",Inhaltsverzeichnis!C3)</f>
        <v/>
      </c>
      <c r="C4" s="154"/>
      <c r="D4" s="154"/>
      <c r="E4" s="155"/>
      <c r="G4" s="78" t="s">
        <v>308</v>
      </c>
      <c r="H4" s="91"/>
      <c r="I4" s="79">
        <f ca="1">SUMIF('Kal TeilRG Gesamt'!J22:M44,$G$4,'Kal TeilRG Gesamt'!M22:M44)</f>
        <v>116489.42999999998</v>
      </c>
      <c r="J4" s="23">
        <f>COUNTIFS('Kal TeilRG Gesamt'!J22:M44,$G$4)</f>
        <v>23</v>
      </c>
      <c r="M4" s="8"/>
      <c r="N4" s="175"/>
      <c r="O4" s="175"/>
      <c r="P4" s="175"/>
      <c r="Q4" s="175"/>
      <c r="R4" s="175"/>
      <c r="U4" s="78" t="s">
        <v>314</v>
      </c>
      <c r="V4" s="16">
        <v>0</v>
      </c>
    </row>
    <row r="5" spans="1:22" ht="15" customHeight="1" x14ac:dyDescent="0.2">
      <c r="A5" s="166"/>
      <c r="B5" s="156"/>
      <c r="C5" s="157"/>
      <c r="D5" s="157"/>
      <c r="E5" s="158"/>
      <c r="G5" s="114"/>
      <c r="H5" s="115"/>
      <c r="I5" s="116"/>
      <c r="J5" s="117"/>
      <c r="M5" s="8"/>
      <c r="N5" s="175"/>
      <c r="O5" s="175"/>
      <c r="P5" s="175"/>
      <c r="Q5" s="175"/>
      <c r="R5" s="175"/>
      <c r="U5" s="78" t="s">
        <v>309</v>
      </c>
      <c r="V5" s="16">
        <v>0</v>
      </c>
    </row>
    <row r="6" spans="1:22" ht="15" customHeight="1" x14ac:dyDescent="0.2">
      <c r="A6" s="80" t="s">
        <v>195</v>
      </c>
      <c r="B6" s="159" t="s">
        <v>215</v>
      </c>
      <c r="C6" s="160"/>
      <c r="D6" s="160"/>
      <c r="E6" s="161"/>
      <c r="G6" s="94"/>
      <c r="H6" s="118"/>
      <c r="I6" s="119"/>
      <c r="U6" s="78" t="s">
        <v>311</v>
      </c>
      <c r="V6" s="16">
        <v>0</v>
      </c>
    </row>
    <row r="7" spans="1:22" ht="15" customHeight="1" x14ac:dyDescent="0.2">
      <c r="A7" s="81" t="s">
        <v>193</v>
      </c>
      <c r="B7" s="162" t="s">
        <v>216</v>
      </c>
      <c r="C7" s="160"/>
      <c r="D7" s="160"/>
      <c r="E7" s="161"/>
      <c r="G7" s="94"/>
      <c r="H7" s="118"/>
      <c r="I7" s="119"/>
      <c r="U7" s="78" t="s">
        <v>312</v>
      </c>
      <c r="V7" s="16">
        <v>0</v>
      </c>
    </row>
    <row r="8" spans="1:22" ht="15" customHeight="1" x14ac:dyDescent="0.2">
      <c r="A8" s="81" t="s">
        <v>194</v>
      </c>
      <c r="B8" s="159"/>
      <c r="C8" s="160"/>
      <c r="D8" s="160"/>
      <c r="E8" s="161"/>
      <c r="G8" s="94"/>
      <c r="H8" s="118"/>
      <c r="I8" s="119"/>
      <c r="U8" s="78" t="s">
        <v>317</v>
      </c>
      <c r="V8" s="16">
        <v>0</v>
      </c>
    </row>
    <row r="9" spans="1:22" ht="15" customHeight="1" x14ac:dyDescent="0.2">
      <c r="A9" s="80" t="s">
        <v>192</v>
      </c>
      <c r="B9" s="163" t="s">
        <v>214</v>
      </c>
      <c r="C9" s="160"/>
      <c r="D9" s="160"/>
      <c r="E9" s="161"/>
      <c r="G9" s="127"/>
      <c r="H9" s="118"/>
      <c r="I9" s="119"/>
      <c r="U9" s="78" t="s">
        <v>310</v>
      </c>
      <c r="V9" s="16">
        <v>0</v>
      </c>
    </row>
    <row r="10" spans="1:22" ht="15" customHeight="1" x14ac:dyDescent="0.2">
      <c r="A10" s="81" t="s">
        <v>174</v>
      </c>
      <c r="B10" s="159" t="s">
        <v>217</v>
      </c>
      <c r="C10" s="160"/>
      <c r="D10" s="160"/>
      <c r="E10" s="161"/>
      <c r="G10" s="94"/>
      <c r="H10" s="118"/>
      <c r="I10" s="119"/>
      <c r="U10" s="78" t="s">
        <v>307</v>
      </c>
      <c r="V10" s="16">
        <v>0</v>
      </c>
    </row>
    <row r="11" spans="1:22" ht="15" customHeight="1" x14ac:dyDescent="0.2">
      <c r="A11" s="81" t="s">
        <v>175</v>
      </c>
      <c r="B11" s="164" t="s">
        <v>218</v>
      </c>
      <c r="C11" s="160"/>
      <c r="D11" s="160"/>
      <c r="E11" s="161"/>
      <c r="G11" s="94"/>
      <c r="H11" s="118"/>
      <c r="I11" s="119"/>
      <c r="M11" s="16" t="str">
        <f>IF(H4="","",IF(N14&gt;0,"Bitte die Leistungswerte prüfen. Es handelt sich um eine UnterhaltsRG (Teilreinigung);",""))</f>
        <v/>
      </c>
      <c r="U11" s="78" t="s">
        <v>316</v>
      </c>
      <c r="V11" s="16">
        <v>0</v>
      </c>
    </row>
    <row r="12" spans="1:22" ht="15" customHeight="1" x14ac:dyDescent="0.2">
      <c r="A12" s="81" t="s">
        <v>176</v>
      </c>
      <c r="B12" s="159" t="s">
        <v>219</v>
      </c>
      <c r="C12" s="160"/>
      <c r="D12" s="160"/>
      <c r="E12" s="161"/>
      <c r="M12" s="16" t="str">
        <f>IF(H4="","",IF(N14&gt;0,"hier müssen nur die Mülleimer entleert werden.",""))</f>
        <v/>
      </c>
      <c r="U12" s="78" t="s">
        <v>308</v>
      </c>
      <c r="V12" s="16">
        <v>540</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94"/>
      <c r="H13" s="118"/>
      <c r="I13" s="119"/>
      <c r="N13" s="93"/>
      <c r="U13" s="78" t="s">
        <v>313</v>
      </c>
      <c r="V13" s="16">
        <v>0</v>
      </c>
    </row>
    <row r="14" spans="1:22" ht="15" customHeight="1" x14ac:dyDescent="0.2">
      <c r="G14" s="120"/>
      <c r="H14" s="121"/>
      <c r="I14" s="122"/>
      <c r="J14" s="31"/>
      <c r="N14" s="16">
        <f>COUNTIF(V22:V$44,1)</f>
        <v>0</v>
      </c>
      <c r="O14" s="16" t="str">
        <f>IF(N14&lt;0,"Wert(e) prüfen.","")</f>
        <v/>
      </c>
      <c r="T14" s="84">
        <f>IF(COUNTA($T$22:$T$44)-COUNTBLANK($T$22:$T$44)=0,"",COUNTA($T$22:$T$44)-COUNTBLANK($T$22:$T$44))</f>
        <v>23</v>
      </c>
      <c r="U14" s="78" t="s">
        <v>315</v>
      </c>
      <c r="V14" s="16">
        <v>0</v>
      </c>
    </row>
    <row r="15" spans="1:22" ht="15" hidden="1" customHeight="1" x14ac:dyDescent="0.2"/>
    <row r="16" spans="1:22" ht="15" hidden="1" customHeight="1" x14ac:dyDescent="0.2"/>
    <row r="17" spans="1:22" ht="15" hidden="1" customHeight="1" x14ac:dyDescent="0.2"/>
    <row r="18" spans="1:22" ht="15" hidden="1" customHeight="1" x14ac:dyDescent="0.2"/>
    <row r="19" spans="1:22" ht="15" hidden="1" customHeight="1" x14ac:dyDescent="0.2"/>
    <row r="20" spans="1:22" ht="45" customHeight="1" x14ac:dyDescent="0.2">
      <c r="A20" s="33" t="s">
        <v>92</v>
      </c>
      <c r="B20" s="33" t="s">
        <v>97</v>
      </c>
      <c r="C20" s="33" t="s">
        <v>93</v>
      </c>
      <c r="D20" s="33" t="s">
        <v>94</v>
      </c>
      <c r="E20" s="33" t="s">
        <v>98</v>
      </c>
      <c r="F20" s="33" t="s">
        <v>95</v>
      </c>
      <c r="G20" s="33" t="s">
        <v>117</v>
      </c>
      <c r="H20" s="33" t="s">
        <v>107</v>
      </c>
      <c r="I20" s="33" t="s">
        <v>108</v>
      </c>
      <c r="J20" s="33" t="s">
        <v>99</v>
      </c>
      <c r="K20" s="33" t="s">
        <v>105</v>
      </c>
      <c r="L20" s="33" t="s">
        <v>136</v>
      </c>
      <c r="M20" s="33" t="s">
        <v>110</v>
      </c>
      <c r="N20" s="33" t="s">
        <v>106</v>
      </c>
      <c r="O20" s="33" t="s">
        <v>111</v>
      </c>
      <c r="P20" s="33" t="s">
        <v>112</v>
      </c>
      <c r="Q20" s="33" t="s">
        <v>113</v>
      </c>
      <c r="R20" s="33" t="s">
        <v>196</v>
      </c>
      <c r="S20" s="33" t="s">
        <v>135</v>
      </c>
    </row>
    <row r="21" spans="1:22" ht="29.1" customHeight="1" x14ac:dyDescent="0.2">
      <c r="A21" s="85" t="s">
        <v>120</v>
      </c>
      <c r="B21" s="60"/>
      <c r="C21" s="60"/>
      <c r="D21" s="60"/>
      <c r="E21" s="60"/>
      <c r="F21" s="60"/>
      <c r="G21" s="86">
        <f>SUM($G$22:$G$44)</f>
        <v>1467.8600000000001</v>
      </c>
      <c r="H21" s="86">
        <f>SUM($H$22:$H$44)</f>
        <v>0</v>
      </c>
      <c r="I21" s="86">
        <f>SUM($I$22:$I$44)</f>
        <v>0</v>
      </c>
      <c r="J21" s="38"/>
      <c r="K21" s="38"/>
      <c r="L21" s="87">
        <f>MAX(L22:L44)</f>
        <v>79.36</v>
      </c>
      <c r="M21" s="86">
        <f>SUM($M$22:$M$44)</f>
        <v>116489.42999999998</v>
      </c>
      <c r="N21" s="38"/>
      <c r="O21" s="38"/>
      <c r="P21" s="86">
        <f>SUM($P$22:$P$44)</f>
        <v>0</v>
      </c>
      <c r="Q21" s="86">
        <f ca="1">SUM($Q$22:$Q$44)</f>
        <v>0</v>
      </c>
      <c r="R21" s="86">
        <f>ROUND(IF(L21=0,0,P21/L21),2)</f>
        <v>0</v>
      </c>
      <c r="S21" s="86">
        <f ca="1">ROUND(IF(L21=0,0,Q21/L21),2)</f>
        <v>0</v>
      </c>
    </row>
    <row r="22" spans="1:22" ht="15" customHeight="1" x14ac:dyDescent="0.2">
      <c r="A22" s="78">
        <v>1</v>
      </c>
      <c r="B22" s="88">
        <v>302</v>
      </c>
      <c r="C22" s="89" t="s">
        <v>225</v>
      </c>
      <c r="D22" s="89"/>
      <c r="E22" s="89" t="s">
        <v>228</v>
      </c>
      <c r="F22" s="89" t="s">
        <v>229</v>
      </c>
      <c r="G22" s="90">
        <v>71.099999999999994</v>
      </c>
      <c r="H22" s="90"/>
      <c r="I22" s="90"/>
      <c r="J22" s="78" t="s">
        <v>308</v>
      </c>
      <c r="K22" s="90">
        <v>2</v>
      </c>
      <c r="L22" s="38">
        <f>VLOOKUP(K22,Reinigungstage!$A$10:$L$31,12,FALSE)</f>
        <v>79.36</v>
      </c>
      <c r="M22" s="38">
        <f t="shared" ref="M22:M38" si="0">ROUND(IF(L22=0,0,L22*G22),2)</f>
        <v>5642.5</v>
      </c>
      <c r="N22" s="92">
        <f t="shared" ref="N22:N44" si="1">VLOOKUP(J22,$G$4:$H$14,2,FALSE)</f>
        <v>0</v>
      </c>
      <c r="O22" s="38">
        <f ca="1">IF('SVS UnterhaltsRG'!H61="",0,'SVS UnterhaltsRG'!H61)</f>
        <v>0</v>
      </c>
      <c r="P22" s="38">
        <f t="shared" ref="P22:P38" si="2">ROUND(IF(N22=0,0,M22/N22),2)</f>
        <v>0</v>
      </c>
      <c r="Q22" s="38">
        <f t="shared" ref="Q22:Q38" ca="1" si="3">IF(M22=0,0,IF(O22="",0,ROUND(P22*O22,2)))</f>
        <v>0</v>
      </c>
      <c r="R22" s="38">
        <f t="shared" ref="R22:R38" si="4">ROUND(IF(P22=0,0,P22/L22),2)</f>
        <v>0</v>
      </c>
      <c r="S22" s="38">
        <f t="shared" ref="S22:S38" ca="1" si="5">ROUND(IF(Q22=0,0,Q22/L22),2)</f>
        <v>0</v>
      </c>
      <c r="T22" s="16" t="str">
        <f t="shared" ref="T22:T38" si="6">IF(M22=0,"",IF(N22=0,"Leistungswert eintragen",IF(O22=0,"SVS prüfen","")))</f>
        <v>Leistungswert eintragen</v>
      </c>
      <c r="U22" s="16">
        <f t="shared" ref="U22:U38" si="7">VLOOKUP(J22,$U$4:$V$14,2,FALSE)</f>
        <v>540</v>
      </c>
      <c r="V22" s="16" t="str">
        <f>IF($H$4="","",IF(M22=0,0,IF(U22&gt;N22,1,0)))</f>
        <v/>
      </c>
    </row>
    <row r="23" spans="1:22" ht="15" customHeight="1" x14ac:dyDescent="0.2">
      <c r="A23" s="78">
        <v>2</v>
      </c>
      <c r="B23" s="88">
        <v>311</v>
      </c>
      <c r="C23" s="89" t="s">
        <v>225</v>
      </c>
      <c r="D23" s="89"/>
      <c r="E23" s="89" t="s">
        <v>233</v>
      </c>
      <c r="F23" s="89" t="s">
        <v>229</v>
      </c>
      <c r="G23" s="90">
        <v>67.319999999999993</v>
      </c>
      <c r="H23" s="90"/>
      <c r="I23" s="90"/>
      <c r="J23" s="78" t="s">
        <v>308</v>
      </c>
      <c r="K23" s="90">
        <v>2</v>
      </c>
      <c r="L23" s="38">
        <f>VLOOKUP(K23,Reinigungstage!$A$10:$L$31,12,FALSE)</f>
        <v>79.36</v>
      </c>
      <c r="M23" s="38">
        <f t="shared" si="0"/>
        <v>5342.52</v>
      </c>
      <c r="N23" s="92">
        <f t="shared" si="1"/>
        <v>0</v>
      </c>
      <c r="O23" s="38">
        <f ca="1">IF('SVS UnterhaltsRG'!H61="",0,'SVS UnterhaltsRG'!H61)</f>
        <v>0</v>
      </c>
      <c r="P23" s="38">
        <f t="shared" si="2"/>
        <v>0</v>
      </c>
      <c r="Q23" s="38">
        <f t="shared" ca="1" si="3"/>
        <v>0</v>
      </c>
      <c r="R23" s="38">
        <f t="shared" si="4"/>
        <v>0</v>
      </c>
      <c r="S23" s="38">
        <f t="shared" ca="1" si="5"/>
        <v>0</v>
      </c>
      <c r="T23" s="16" t="str">
        <f t="shared" si="6"/>
        <v>Leistungswert eintragen</v>
      </c>
      <c r="U23" s="16">
        <f t="shared" si="7"/>
        <v>540</v>
      </c>
      <c r="V23" s="16" t="str">
        <f t="shared" ref="V23:V44" si="8">IF($H$4="","",IF(M23=0,0,IF(U23&gt;N23,1,0)))</f>
        <v/>
      </c>
    </row>
    <row r="24" spans="1:22" ht="15" customHeight="1" x14ac:dyDescent="0.2">
      <c r="A24" s="78">
        <v>3</v>
      </c>
      <c r="B24" s="88">
        <v>313</v>
      </c>
      <c r="C24" s="89" t="s">
        <v>225</v>
      </c>
      <c r="D24" s="89"/>
      <c r="E24" s="89" t="s">
        <v>233</v>
      </c>
      <c r="F24" s="89" t="s">
        <v>229</v>
      </c>
      <c r="G24" s="90">
        <v>59.38</v>
      </c>
      <c r="H24" s="90"/>
      <c r="I24" s="90"/>
      <c r="J24" s="78" t="s">
        <v>308</v>
      </c>
      <c r="K24" s="90">
        <v>2</v>
      </c>
      <c r="L24" s="38">
        <f>VLOOKUP(K24,Reinigungstage!$A$10:$L$31,12,FALSE)</f>
        <v>79.36</v>
      </c>
      <c r="M24" s="38">
        <f t="shared" si="0"/>
        <v>4712.3999999999996</v>
      </c>
      <c r="N24" s="92">
        <f t="shared" si="1"/>
        <v>0</v>
      </c>
      <c r="O24" s="38">
        <f ca="1">IF('SVS UnterhaltsRG'!H61="",0,'SVS UnterhaltsRG'!H61)</f>
        <v>0</v>
      </c>
      <c r="P24" s="38">
        <f t="shared" si="2"/>
        <v>0</v>
      </c>
      <c r="Q24" s="38">
        <f t="shared" ca="1" si="3"/>
        <v>0</v>
      </c>
      <c r="R24" s="38">
        <f t="shared" si="4"/>
        <v>0</v>
      </c>
      <c r="S24" s="38">
        <f t="shared" ca="1" si="5"/>
        <v>0</v>
      </c>
      <c r="T24" s="16" t="str">
        <f t="shared" si="6"/>
        <v>Leistungswert eintragen</v>
      </c>
      <c r="U24" s="16">
        <f t="shared" si="7"/>
        <v>540</v>
      </c>
      <c r="V24" s="16" t="str">
        <f t="shared" si="8"/>
        <v/>
      </c>
    </row>
    <row r="25" spans="1:22" ht="15" customHeight="1" x14ac:dyDescent="0.2">
      <c r="A25" s="78">
        <v>4</v>
      </c>
      <c r="B25" s="88">
        <v>314</v>
      </c>
      <c r="C25" s="89" t="s">
        <v>225</v>
      </c>
      <c r="D25" s="89"/>
      <c r="E25" s="89" t="s">
        <v>233</v>
      </c>
      <c r="F25" s="89" t="s">
        <v>229</v>
      </c>
      <c r="G25" s="90">
        <v>59.38</v>
      </c>
      <c r="H25" s="90"/>
      <c r="I25" s="90"/>
      <c r="J25" s="78" t="s">
        <v>308</v>
      </c>
      <c r="K25" s="90">
        <v>2</v>
      </c>
      <c r="L25" s="38">
        <f>VLOOKUP(K25,Reinigungstage!$A$10:$L$31,12,FALSE)</f>
        <v>79.36</v>
      </c>
      <c r="M25" s="38">
        <f t="shared" si="0"/>
        <v>4712.3999999999996</v>
      </c>
      <c r="N25" s="92">
        <f t="shared" si="1"/>
        <v>0</v>
      </c>
      <c r="O25" s="38">
        <f ca="1">IF('SVS UnterhaltsRG'!H61="",0,'SVS UnterhaltsRG'!H61)</f>
        <v>0</v>
      </c>
      <c r="P25" s="38">
        <f t="shared" si="2"/>
        <v>0</v>
      </c>
      <c r="Q25" s="38">
        <f t="shared" ca="1" si="3"/>
        <v>0</v>
      </c>
      <c r="R25" s="38">
        <f t="shared" si="4"/>
        <v>0</v>
      </c>
      <c r="S25" s="38">
        <f t="shared" ca="1" si="5"/>
        <v>0</v>
      </c>
      <c r="T25" s="16" t="str">
        <f t="shared" si="6"/>
        <v>Leistungswert eintragen</v>
      </c>
      <c r="U25" s="16">
        <f t="shared" si="7"/>
        <v>540</v>
      </c>
      <c r="V25" s="16" t="str">
        <f t="shared" si="8"/>
        <v/>
      </c>
    </row>
    <row r="26" spans="1:22" ht="15" customHeight="1" x14ac:dyDescent="0.2">
      <c r="A26" s="78">
        <v>5</v>
      </c>
      <c r="B26" s="88">
        <v>316</v>
      </c>
      <c r="C26" s="89" t="s">
        <v>225</v>
      </c>
      <c r="D26" s="89"/>
      <c r="E26" s="89" t="s">
        <v>233</v>
      </c>
      <c r="F26" s="89" t="s">
        <v>229</v>
      </c>
      <c r="G26" s="90">
        <v>59.38</v>
      </c>
      <c r="H26" s="90"/>
      <c r="I26" s="90"/>
      <c r="J26" s="78" t="s">
        <v>308</v>
      </c>
      <c r="K26" s="90">
        <v>2</v>
      </c>
      <c r="L26" s="38">
        <f>VLOOKUP(K26,Reinigungstage!$A$10:$L$31,12,FALSE)</f>
        <v>79.36</v>
      </c>
      <c r="M26" s="38">
        <f t="shared" si="0"/>
        <v>4712.3999999999996</v>
      </c>
      <c r="N26" s="92">
        <f t="shared" si="1"/>
        <v>0</v>
      </c>
      <c r="O26" s="38">
        <f ca="1">IF('SVS UnterhaltsRG'!H61="",0,'SVS UnterhaltsRG'!H61)</f>
        <v>0</v>
      </c>
      <c r="P26" s="38">
        <f t="shared" si="2"/>
        <v>0</v>
      </c>
      <c r="Q26" s="38">
        <f t="shared" ca="1" si="3"/>
        <v>0</v>
      </c>
      <c r="R26" s="38">
        <f t="shared" si="4"/>
        <v>0</v>
      </c>
      <c r="S26" s="38">
        <f t="shared" ca="1" si="5"/>
        <v>0</v>
      </c>
      <c r="T26" s="16" t="str">
        <f t="shared" si="6"/>
        <v>Leistungswert eintragen</v>
      </c>
      <c r="U26" s="16">
        <f t="shared" si="7"/>
        <v>540</v>
      </c>
      <c r="V26" s="16" t="str">
        <f t="shared" si="8"/>
        <v/>
      </c>
    </row>
    <row r="27" spans="1:22" ht="15" customHeight="1" x14ac:dyDescent="0.2">
      <c r="A27" s="78">
        <v>6</v>
      </c>
      <c r="B27" s="88">
        <v>317</v>
      </c>
      <c r="C27" s="89" t="s">
        <v>225</v>
      </c>
      <c r="D27" s="89"/>
      <c r="E27" s="89" t="s">
        <v>233</v>
      </c>
      <c r="F27" s="89" t="s">
        <v>229</v>
      </c>
      <c r="G27" s="90">
        <v>59.39</v>
      </c>
      <c r="H27" s="90"/>
      <c r="I27" s="90"/>
      <c r="J27" s="78" t="s">
        <v>308</v>
      </c>
      <c r="K27" s="90">
        <v>2</v>
      </c>
      <c r="L27" s="38">
        <f>VLOOKUP(K27,Reinigungstage!$A$10:$L$31,12,FALSE)</f>
        <v>79.36</v>
      </c>
      <c r="M27" s="38">
        <f t="shared" si="0"/>
        <v>4713.1899999999996</v>
      </c>
      <c r="N27" s="92">
        <f t="shared" si="1"/>
        <v>0</v>
      </c>
      <c r="O27" s="38">
        <f ca="1">IF('SVS UnterhaltsRG'!H61="",0,'SVS UnterhaltsRG'!H61)</f>
        <v>0</v>
      </c>
      <c r="P27" s="38">
        <f t="shared" si="2"/>
        <v>0</v>
      </c>
      <c r="Q27" s="38">
        <f t="shared" ca="1" si="3"/>
        <v>0</v>
      </c>
      <c r="R27" s="38">
        <f t="shared" si="4"/>
        <v>0</v>
      </c>
      <c r="S27" s="38">
        <f t="shared" ca="1" si="5"/>
        <v>0</v>
      </c>
      <c r="T27" s="16" t="str">
        <f t="shared" si="6"/>
        <v>Leistungswert eintragen</v>
      </c>
      <c r="U27" s="16">
        <f t="shared" si="7"/>
        <v>540</v>
      </c>
      <c r="V27" s="16" t="str">
        <f t="shared" si="8"/>
        <v/>
      </c>
    </row>
    <row r="28" spans="1:22" ht="15" customHeight="1" x14ac:dyDescent="0.2">
      <c r="A28" s="78">
        <v>7</v>
      </c>
      <c r="B28" s="88">
        <v>319</v>
      </c>
      <c r="C28" s="89" t="s">
        <v>225</v>
      </c>
      <c r="D28" s="89"/>
      <c r="E28" s="89" t="s">
        <v>233</v>
      </c>
      <c r="F28" s="89" t="s">
        <v>229</v>
      </c>
      <c r="G28" s="90">
        <v>67.33</v>
      </c>
      <c r="H28" s="90"/>
      <c r="I28" s="90"/>
      <c r="J28" s="78" t="s">
        <v>308</v>
      </c>
      <c r="K28" s="90">
        <v>2</v>
      </c>
      <c r="L28" s="38">
        <f>VLOOKUP(K28,Reinigungstage!$A$10:$L$31,12,FALSE)</f>
        <v>79.36</v>
      </c>
      <c r="M28" s="38">
        <f t="shared" si="0"/>
        <v>5343.31</v>
      </c>
      <c r="N28" s="92">
        <f t="shared" si="1"/>
        <v>0</v>
      </c>
      <c r="O28" s="38">
        <f ca="1">IF('SVS UnterhaltsRG'!H61="",0,'SVS UnterhaltsRG'!H61)</f>
        <v>0</v>
      </c>
      <c r="P28" s="38">
        <f t="shared" si="2"/>
        <v>0</v>
      </c>
      <c r="Q28" s="38">
        <f t="shared" ca="1" si="3"/>
        <v>0</v>
      </c>
      <c r="R28" s="38">
        <f t="shared" si="4"/>
        <v>0</v>
      </c>
      <c r="S28" s="38">
        <f t="shared" ca="1" si="5"/>
        <v>0</v>
      </c>
      <c r="T28" s="16" t="str">
        <f t="shared" si="6"/>
        <v>Leistungswert eintragen</v>
      </c>
      <c r="U28" s="16">
        <f t="shared" si="7"/>
        <v>540</v>
      </c>
      <c r="V28" s="16" t="str">
        <f t="shared" si="8"/>
        <v/>
      </c>
    </row>
    <row r="29" spans="1:22" ht="15" customHeight="1" x14ac:dyDescent="0.2">
      <c r="A29" s="78">
        <v>8</v>
      </c>
      <c r="B29" s="88">
        <v>326</v>
      </c>
      <c r="C29" s="89" t="s">
        <v>225</v>
      </c>
      <c r="D29" s="89"/>
      <c r="E29" s="89" t="s">
        <v>238</v>
      </c>
      <c r="F29" s="89" t="s">
        <v>229</v>
      </c>
      <c r="G29" s="90">
        <v>76.91</v>
      </c>
      <c r="H29" s="90"/>
      <c r="I29" s="90"/>
      <c r="J29" s="78" t="s">
        <v>308</v>
      </c>
      <c r="K29" s="90">
        <v>2</v>
      </c>
      <c r="L29" s="38">
        <f>VLOOKUP(K29,Reinigungstage!$A$10:$L$31,12,FALSE)</f>
        <v>79.36</v>
      </c>
      <c r="M29" s="38">
        <f t="shared" si="0"/>
        <v>6103.58</v>
      </c>
      <c r="N29" s="92">
        <f t="shared" si="1"/>
        <v>0</v>
      </c>
      <c r="O29" s="38">
        <f ca="1">IF('SVS UnterhaltsRG'!H61="",0,'SVS UnterhaltsRG'!H61)</f>
        <v>0</v>
      </c>
      <c r="P29" s="38">
        <f t="shared" si="2"/>
        <v>0</v>
      </c>
      <c r="Q29" s="38">
        <f t="shared" ca="1" si="3"/>
        <v>0</v>
      </c>
      <c r="R29" s="38">
        <f t="shared" si="4"/>
        <v>0</v>
      </c>
      <c r="S29" s="38">
        <f t="shared" ca="1" si="5"/>
        <v>0</v>
      </c>
      <c r="T29" s="16" t="str">
        <f t="shared" si="6"/>
        <v>Leistungswert eintragen</v>
      </c>
      <c r="U29" s="16">
        <f t="shared" si="7"/>
        <v>540</v>
      </c>
      <c r="V29" s="16" t="str">
        <f t="shared" si="8"/>
        <v/>
      </c>
    </row>
    <row r="30" spans="1:22" ht="15" customHeight="1" x14ac:dyDescent="0.2">
      <c r="A30" s="78">
        <v>9</v>
      </c>
      <c r="B30" s="88">
        <v>211</v>
      </c>
      <c r="C30" s="89" t="s">
        <v>248</v>
      </c>
      <c r="D30" s="89"/>
      <c r="E30" s="89" t="s">
        <v>233</v>
      </c>
      <c r="F30" s="89" t="s">
        <v>229</v>
      </c>
      <c r="G30" s="90">
        <v>67.319999999999993</v>
      </c>
      <c r="H30" s="90"/>
      <c r="I30" s="90"/>
      <c r="J30" s="78" t="s">
        <v>308</v>
      </c>
      <c r="K30" s="90">
        <v>2</v>
      </c>
      <c r="L30" s="38">
        <f>VLOOKUP(K30,Reinigungstage!$A$10:$L$31,12,FALSE)</f>
        <v>79.36</v>
      </c>
      <c r="M30" s="38">
        <f t="shared" si="0"/>
        <v>5342.52</v>
      </c>
      <c r="N30" s="92">
        <f t="shared" si="1"/>
        <v>0</v>
      </c>
      <c r="O30" s="38">
        <f ca="1">IF('SVS UnterhaltsRG'!H61="",0,'SVS UnterhaltsRG'!H61)</f>
        <v>0</v>
      </c>
      <c r="P30" s="38">
        <f t="shared" si="2"/>
        <v>0</v>
      </c>
      <c r="Q30" s="38">
        <f t="shared" ca="1" si="3"/>
        <v>0</v>
      </c>
      <c r="R30" s="38">
        <f t="shared" si="4"/>
        <v>0</v>
      </c>
      <c r="S30" s="38">
        <f t="shared" ca="1" si="5"/>
        <v>0</v>
      </c>
      <c r="T30" s="16" t="str">
        <f t="shared" si="6"/>
        <v>Leistungswert eintragen</v>
      </c>
      <c r="U30" s="16">
        <f t="shared" si="7"/>
        <v>540</v>
      </c>
      <c r="V30" s="16" t="str">
        <f t="shared" si="8"/>
        <v/>
      </c>
    </row>
    <row r="31" spans="1:22" ht="15" customHeight="1" x14ac:dyDescent="0.2">
      <c r="A31" s="78">
        <v>10</v>
      </c>
      <c r="B31" s="88">
        <v>213</v>
      </c>
      <c r="C31" s="89" t="s">
        <v>248</v>
      </c>
      <c r="D31" s="89"/>
      <c r="E31" s="89" t="s">
        <v>233</v>
      </c>
      <c r="F31" s="89" t="s">
        <v>229</v>
      </c>
      <c r="G31" s="90">
        <v>59.38</v>
      </c>
      <c r="H31" s="90"/>
      <c r="I31" s="90"/>
      <c r="J31" s="78" t="s">
        <v>308</v>
      </c>
      <c r="K31" s="90">
        <v>2</v>
      </c>
      <c r="L31" s="38">
        <f>VLOOKUP(K31,Reinigungstage!$A$10:$L$31,12,FALSE)</f>
        <v>79.36</v>
      </c>
      <c r="M31" s="38">
        <f t="shared" si="0"/>
        <v>4712.3999999999996</v>
      </c>
      <c r="N31" s="92">
        <f t="shared" si="1"/>
        <v>0</v>
      </c>
      <c r="O31" s="38">
        <f ca="1">IF('SVS UnterhaltsRG'!H61="",0,'SVS UnterhaltsRG'!H61)</f>
        <v>0</v>
      </c>
      <c r="P31" s="38">
        <f t="shared" si="2"/>
        <v>0</v>
      </c>
      <c r="Q31" s="38">
        <f t="shared" ca="1" si="3"/>
        <v>0</v>
      </c>
      <c r="R31" s="38">
        <f t="shared" si="4"/>
        <v>0</v>
      </c>
      <c r="S31" s="38">
        <f t="shared" ca="1" si="5"/>
        <v>0</v>
      </c>
      <c r="T31" s="16" t="str">
        <f t="shared" si="6"/>
        <v>Leistungswert eintragen</v>
      </c>
      <c r="U31" s="16">
        <f t="shared" si="7"/>
        <v>540</v>
      </c>
      <c r="V31" s="16" t="str">
        <f t="shared" si="8"/>
        <v/>
      </c>
    </row>
    <row r="32" spans="1:22" ht="15" customHeight="1" x14ac:dyDescent="0.2">
      <c r="A32" s="78">
        <v>11</v>
      </c>
      <c r="B32" s="88">
        <v>214</v>
      </c>
      <c r="C32" s="89" t="s">
        <v>248</v>
      </c>
      <c r="D32" s="89"/>
      <c r="E32" s="89" t="s">
        <v>233</v>
      </c>
      <c r="F32" s="89" t="s">
        <v>229</v>
      </c>
      <c r="G32" s="90">
        <v>59.39</v>
      </c>
      <c r="H32" s="90"/>
      <c r="I32" s="90"/>
      <c r="J32" s="78" t="s">
        <v>308</v>
      </c>
      <c r="K32" s="90">
        <v>2</v>
      </c>
      <c r="L32" s="38">
        <f>VLOOKUP(K32,Reinigungstage!$A$10:$L$31,12,FALSE)</f>
        <v>79.36</v>
      </c>
      <c r="M32" s="38">
        <f t="shared" si="0"/>
        <v>4713.1899999999996</v>
      </c>
      <c r="N32" s="92">
        <f t="shared" si="1"/>
        <v>0</v>
      </c>
      <c r="O32" s="38">
        <f ca="1">IF('SVS UnterhaltsRG'!H61="",0,'SVS UnterhaltsRG'!H61)</f>
        <v>0</v>
      </c>
      <c r="P32" s="38">
        <f t="shared" si="2"/>
        <v>0</v>
      </c>
      <c r="Q32" s="38">
        <f t="shared" ca="1" si="3"/>
        <v>0</v>
      </c>
      <c r="R32" s="38">
        <f t="shared" si="4"/>
        <v>0</v>
      </c>
      <c r="S32" s="38">
        <f t="shared" ca="1" si="5"/>
        <v>0</v>
      </c>
      <c r="T32" s="16" t="str">
        <f t="shared" si="6"/>
        <v>Leistungswert eintragen</v>
      </c>
      <c r="U32" s="16">
        <f t="shared" si="7"/>
        <v>540</v>
      </c>
      <c r="V32" s="16" t="str">
        <f t="shared" si="8"/>
        <v/>
      </c>
    </row>
    <row r="33" spans="1:22" ht="15" customHeight="1" x14ac:dyDescent="0.2">
      <c r="A33" s="78">
        <v>12</v>
      </c>
      <c r="B33" s="88">
        <v>216</v>
      </c>
      <c r="C33" s="89" t="s">
        <v>248</v>
      </c>
      <c r="D33" s="89"/>
      <c r="E33" s="89" t="s">
        <v>233</v>
      </c>
      <c r="F33" s="89" t="s">
        <v>229</v>
      </c>
      <c r="G33" s="90">
        <v>59.38</v>
      </c>
      <c r="H33" s="90"/>
      <c r="I33" s="90"/>
      <c r="J33" s="78" t="s">
        <v>308</v>
      </c>
      <c r="K33" s="90">
        <v>2</v>
      </c>
      <c r="L33" s="38">
        <f>VLOOKUP(K33,Reinigungstage!$A$10:$L$31,12,FALSE)</f>
        <v>79.36</v>
      </c>
      <c r="M33" s="38">
        <f t="shared" si="0"/>
        <v>4712.3999999999996</v>
      </c>
      <c r="N33" s="92">
        <f t="shared" si="1"/>
        <v>0</v>
      </c>
      <c r="O33" s="38">
        <f ca="1">IF('SVS UnterhaltsRG'!H61="",0,'SVS UnterhaltsRG'!H61)</f>
        <v>0</v>
      </c>
      <c r="P33" s="38">
        <f t="shared" si="2"/>
        <v>0</v>
      </c>
      <c r="Q33" s="38">
        <f t="shared" ca="1" si="3"/>
        <v>0</v>
      </c>
      <c r="R33" s="38">
        <f t="shared" si="4"/>
        <v>0</v>
      </c>
      <c r="S33" s="38">
        <f t="shared" ca="1" si="5"/>
        <v>0</v>
      </c>
      <c r="T33" s="16" t="str">
        <f t="shared" si="6"/>
        <v>Leistungswert eintragen</v>
      </c>
      <c r="U33" s="16">
        <f t="shared" si="7"/>
        <v>540</v>
      </c>
      <c r="V33" s="16" t="str">
        <f t="shared" si="8"/>
        <v/>
      </c>
    </row>
    <row r="34" spans="1:22" ht="15" customHeight="1" x14ac:dyDescent="0.2">
      <c r="A34" s="78">
        <v>13</v>
      </c>
      <c r="B34" s="88">
        <v>217</v>
      </c>
      <c r="C34" s="89" t="s">
        <v>248</v>
      </c>
      <c r="D34" s="89"/>
      <c r="E34" s="89" t="s">
        <v>233</v>
      </c>
      <c r="F34" s="89" t="s">
        <v>229</v>
      </c>
      <c r="G34" s="90">
        <v>59.39</v>
      </c>
      <c r="H34" s="90"/>
      <c r="I34" s="90"/>
      <c r="J34" s="78" t="s">
        <v>308</v>
      </c>
      <c r="K34" s="90">
        <v>2</v>
      </c>
      <c r="L34" s="38">
        <f>VLOOKUP(K34,Reinigungstage!$A$10:$L$31,12,FALSE)</f>
        <v>79.36</v>
      </c>
      <c r="M34" s="38">
        <f t="shared" si="0"/>
        <v>4713.1899999999996</v>
      </c>
      <c r="N34" s="92">
        <f t="shared" si="1"/>
        <v>0</v>
      </c>
      <c r="O34" s="38">
        <f ca="1">IF('SVS UnterhaltsRG'!H61="",0,'SVS UnterhaltsRG'!H61)</f>
        <v>0</v>
      </c>
      <c r="P34" s="38">
        <f t="shared" si="2"/>
        <v>0</v>
      </c>
      <c r="Q34" s="38">
        <f t="shared" ca="1" si="3"/>
        <v>0</v>
      </c>
      <c r="R34" s="38">
        <f t="shared" si="4"/>
        <v>0</v>
      </c>
      <c r="S34" s="38">
        <f t="shared" ca="1" si="5"/>
        <v>0</v>
      </c>
      <c r="T34" s="16" t="str">
        <f t="shared" si="6"/>
        <v>Leistungswert eintragen</v>
      </c>
      <c r="U34" s="16">
        <f t="shared" si="7"/>
        <v>540</v>
      </c>
      <c r="V34" s="16" t="str">
        <f t="shared" si="8"/>
        <v/>
      </c>
    </row>
    <row r="35" spans="1:22" ht="15" customHeight="1" x14ac:dyDescent="0.2">
      <c r="A35" s="78">
        <v>14</v>
      </c>
      <c r="B35" s="88">
        <v>219</v>
      </c>
      <c r="C35" s="89" t="s">
        <v>248</v>
      </c>
      <c r="D35" s="89"/>
      <c r="E35" s="89" t="s">
        <v>233</v>
      </c>
      <c r="F35" s="89" t="s">
        <v>229</v>
      </c>
      <c r="G35" s="90">
        <v>67.33</v>
      </c>
      <c r="H35" s="90"/>
      <c r="I35" s="90"/>
      <c r="J35" s="78" t="s">
        <v>308</v>
      </c>
      <c r="K35" s="90">
        <v>2</v>
      </c>
      <c r="L35" s="38">
        <f>VLOOKUP(K35,Reinigungstage!$A$10:$L$31,12,FALSE)</f>
        <v>79.36</v>
      </c>
      <c r="M35" s="38">
        <f t="shared" si="0"/>
        <v>5343.31</v>
      </c>
      <c r="N35" s="92">
        <f t="shared" si="1"/>
        <v>0</v>
      </c>
      <c r="O35" s="38">
        <f ca="1">IF('SVS UnterhaltsRG'!H61="",0,'SVS UnterhaltsRG'!H61)</f>
        <v>0</v>
      </c>
      <c r="P35" s="38">
        <f t="shared" si="2"/>
        <v>0</v>
      </c>
      <c r="Q35" s="38">
        <f t="shared" ca="1" si="3"/>
        <v>0</v>
      </c>
      <c r="R35" s="38">
        <f t="shared" si="4"/>
        <v>0</v>
      </c>
      <c r="S35" s="38">
        <f t="shared" ca="1" si="5"/>
        <v>0</v>
      </c>
      <c r="T35" s="16" t="str">
        <f t="shared" si="6"/>
        <v>Leistungswert eintragen</v>
      </c>
      <c r="U35" s="16">
        <f t="shared" si="7"/>
        <v>540</v>
      </c>
      <c r="V35" s="16" t="str">
        <f t="shared" si="8"/>
        <v/>
      </c>
    </row>
    <row r="36" spans="1:22" ht="15" customHeight="1" x14ac:dyDescent="0.2">
      <c r="A36" s="78">
        <v>15</v>
      </c>
      <c r="B36" s="88">
        <v>231</v>
      </c>
      <c r="C36" s="89" t="s">
        <v>248</v>
      </c>
      <c r="D36" s="89"/>
      <c r="E36" s="89" t="s">
        <v>259</v>
      </c>
      <c r="F36" s="89" t="s">
        <v>229</v>
      </c>
      <c r="G36" s="90">
        <v>68.349999999999994</v>
      </c>
      <c r="H36" s="90"/>
      <c r="I36" s="90"/>
      <c r="J36" s="78" t="s">
        <v>308</v>
      </c>
      <c r="K36" s="90">
        <v>2</v>
      </c>
      <c r="L36" s="38">
        <f>VLOOKUP(K36,Reinigungstage!$A$10:$L$31,12,FALSE)</f>
        <v>79.36</v>
      </c>
      <c r="M36" s="38">
        <f t="shared" si="0"/>
        <v>5424.26</v>
      </c>
      <c r="N36" s="92">
        <f t="shared" si="1"/>
        <v>0</v>
      </c>
      <c r="O36" s="38">
        <f ca="1">IF('SVS UnterhaltsRG'!H61="",0,'SVS UnterhaltsRG'!H61)</f>
        <v>0</v>
      </c>
      <c r="P36" s="38">
        <f t="shared" si="2"/>
        <v>0</v>
      </c>
      <c r="Q36" s="38">
        <f t="shared" ca="1" si="3"/>
        <v>0</v>
      </c>
      <c r="R36" s="38">
        <f t="shared" si="4"/>
        <v>0</v>
      </c>
      <c r="S36" s="38">
        <f t="shared" ca="1" si="5"/>
        <v>0</v>
      </c>
      <c r="T36" s="16" t="str">
        <f t="shared" si="6"/>
        <v>Leistungswert eintragen</v>
      </c>
      <c r="U36" s="16">
        <f t="shared" si="7"/>
        <v>540</v>
      </c>
      <c r="V36" s="16" t="str">
        <f t="shared" si="8"/>
        <v/>
      </c>
    </row>
    <row r="37" spans="1:22" ht="15" customHeight="1" x14ac:dyDescent="0.2">
      <c r="A37" s="78">
        <v>16</v>
      </c>
      <c r="B37" s="88">
        <v>234</v>
      </c>
      <c r="C37" s="89" t="s">
        <v>248</v>
      </c>
      <c r="D37" s="89"/>
      <c r="E37" s="89" t="s">
        <v>262</v>
      </c>
      <c r="F37" s="89" t="s">
        <v>229</v>
      </c>
      <c r="G37" s="90">
        <v>68.349999999999994</v>
      </c>
      <c r="H37" s="90"/>
      <c r="I37" s="90"/>
      <c r="J37" s="78" t="s">
        <v>308</v>
      </c>
      <c r="K37" s="90">
        <v>2</v>
      </c>
      <c r="L37" s="38">
        <f>VLOOKUP(K37,Reinigungstage!$A$10:$L$31,12,FALSE)</f>
        <v>79.36</v>
      </c>
      <c r="M37" s="38">
        <f t="shared" si="0"/>
        <v>5424.26</v>
      </c>
      <c r="N37" s="92">
        <f t="shared" si="1"/>
        <v>0</v>
      </c>
      <c r="O37" s="38">
        <f ca="1">IF('SVS UnterhaltsRG'!H61="",0,'SVS UnterhaltsRG'!H61)</f>
        <v>0</v>
      </c>
      <c r="P37" s="38">
        <f t="shared" si="2"/>
        <v>0</v>
      </c>
      <c r="Q37" s="38">
        <f t="shared" ca="1" si="3"/>
        <v>0</v>
      </c>
      <c r="R37" s="38">
        <f t="shared" si="4"/>
        <v>0</v>
      </c>
      <c r="S37" s="38">
        <f t="shared" ca="1" si="5"/>
        <v>0</v>
      </c>
      <c r="T37" s="16" t="str">
        <f t="shared" si="6"/>
        <v>Leistungswert eintragen</v>
      </c>
      <c r="U37" s="16">
        <f t="shared" si="7"/>
        <v>540</v>
      </c>
      <c r="V37" s="16" t="str">
        <f t="shared" si="8"/>
        <v/>
      </c>
    </row>
    <row r="38" spans="1:22" ht="15" customHeight="1" x14ac:dyDescent="0.2">
      <c r="A38" s="78">
        <v>17</v>
      </c>
      <c r="B38" s="88">
        <v>236</v>
      </c>
      <c r="C38" s="89" t="s">
        <v>248</v>
      </c>
      <c r="D38" s="89"/>
      <c r="E38" s="89" t="s">
        <v>264</v>
      </c>
      <c r="F38" s="89" t="s">
        <v>229</v>
      </c>
      <c r="G38" s="90">
        <v>66.61</v>
      </c>
      <c r="H38" s="90"/>
      <c r="I38" s="90"/>
      <c r="J38" s="78" t="s">
        <v>308</v>
      </c>
      <c r="K38" s="90">
        <v>2</v>
      </c>
      <c r="L38" s="38">
        <f>VLOOKUP(K38,Reinigungstage!$A$10:$L$31,12,FALSE)</f>
        <v>79.36</v>
      </c>
      <c r="M38" s="38">
        <f t="shared" si="0"/>
        <v>5286.17</v>
      </c>
      <c r="N38" s="92">
        <f t="shared" si="1"/>
        <v>0</v>
      </c>
      <c r="O38" s="38">
        <f ca="1">IF('SVS UnterhaltsRG'!$H$61="",0,'SVS UnterhaltsRG'!$H$61)</f>
        <v>0</v>
      </c>
      <c r="P38" s="38">
        <f t="shared" si="2"/>
        <v>0</v>
      </c>
      <c r="Q38" s="38">
        <f t="shared" ca="1" si="3"/>
        <v>0</v>
      </c>
      <c r="R38" s="38">
        <f t="shared" si="4"/>
        <v>0</v>
      </c>
      <c r="S38" s="38">
        <f t="shared" ca="1" si="5"/>
        <v>0</v>
      </c>
      <c r="T38" s="16" t="str">
        <f t="shared" si="6"/>
        <v>Leistungswert eintragen</v>
      </c>
      <c r="U38" s="16">
        <f t="shared" si="7"/>
        <v>540</v>
      </c>
      <c r="V38" s="16" t="str">
        <f t="shared" si="8"/>
        <v/>
      </c>
    </row>
    <row r="39" spans="1:22" ht="15" customHeight="1" x14ac:dyDescent="0.2">
      <c r="A39" s="78">
        <v>18</v>
      </c>
      <c r="B39" s="88">
        <v>111</v>
      </c>
      <c r="C39" s="89" t="s">
        <v>276</v>
      </c>
      <c r="D39" s="89"/>
      <c r="E39" s="89" t="s">
        <v>233</v>
      </c>
      <c r="F39" s="89" t="s">
        <v>229</v>
      </c>
      <c r="G39" s="90">
        <v>67.319999999999993</v>
      </c>
      <c r="H39" s="90"/>
      <c r="I39" s="90"/>
      <c r="J39" s="78" t="s">
        <v>308</v>
      </c>
      <c r="K39" s="90">
        <v>2</v>
      </c>
      <c r="L39" s="38">
        <f>VLOOKUP(K39,Reinigungstage!$A$10:$L$31,12,FALSE)</f>
        <v>79.36</v>
      </c>
      <c r="M39" s="38">
        <f t="shared" ref="M39:M44" si="9">ROUND(IF(L39=0,0,L39*G39),2)</f>
        <v>5342.52</v>
      </c>
      <c r="N39" s="92">
        <f t="shared" si="1"/>
        <v>0</v>
      </c>
      <c r="O39" s="38">
        <f ca="1">IF('SVS UnterhaltsRG'!$H$61="",0,'SVS UnterhaltsRG'!$H$61)</f>
        <v>0</v>
      </c>
      <c r="P39" s="38">
        <f t="shared" ref="P39:P44" si="10">ROUND(IF(N39=0,0,M39/N39),2)</f>
        <v>0</v>
      </c>
      <c r="Q39" s="38">
        <f t="shared" ref="Q39:Q44" ca="1" si="11">IF(M39=0,0,IF(O39="",0,ROUND(P39*O39,2)))</f>
        <v>0</v>
      </c>
      <c r="R39" s="38">
        <f t="shared" ref="R39:R44" si="12">ROUND(IF(P39=0,0,P39/L39),2)</f>
        <v>0</v>
      </c>
      <c r="S39" s="38">
        <f t="shared" ref="S39:S44" ca="1" si="13">ROUND(IF(Q39=0,0,Q39/L39),2)</f>
        <v>0</v>
      </c>
      <c r="T39" s="16" t="str">
        <f t="shared" ref="T39:T44" si="14">IF(M39=0,"",IF(N39=0,"Leistungswert eintragen",IF(O39=0,"SVS prüfen","")))</f>
        <v>Leistungswert eintragen</v>
      </c>
      <c r="U39" s="16">
        <f t="shared" ref="U39:U44" si="15">VLOOKUP(J39,$U$4:$V$14,2,FALSE)</f>
        <v>540</v>
      </c>
      <c r="V39" s="16" t="str">
        <f t="shared" si="8"/>
        <v/>
      </c>
    </row>
    <row r="40" spans="1:22" ht="15" customHeight="1" x14ac:dyDescent="0.2">
      <c r="A40" s="78">
        <v>19</v>
      </c>
      <c r="B40" s="88">
        <v>113</v>
      </c>
      <c r="C40" s="89" t="s">
        <v>276</v>
      </c>
      <c r="D40" s="89"/>
      <c r="E40" s="89" t="s">
        <v>233</v>
      </c>
      <c r="F40" s="89" t="s">
        <v>229</v>
      </c>
      <c r="G40" s="90">
        <v>59.38</v>
      </c>
      <c r="H40" s="90"/>
      <c r="I40" s="90"/>
      <c r="J40" s="78" t="s">
        <v>308</v>
      </c>
      <c r="K40" s="90">
        <v>2</v>
      </c>
      <c r="L40" s="38">
        <f>VLOOKUP(K40,Reinigungstage!$A$10:$L$31,12,FALSE)</f>
        <v>79.36</v>
      </c>
      <c r="M40" s="38">
        <f t="shared" si="9"/>
        <v>4712.3999999999996</v>
      </c>
      <c r="N40" s="92">
        <f t="shared" si="1"/>
        <v>0</v>
      </c>
      <c r="O40" s="38">
        <f ca="1">IF('SVS UnterhaltsRG'!$H$61="",0,'SVS UnterhaltsRG'!$H$61)</f>
        <v>0</v>
      </c>
      <c r="P40" s="38">
        <f t="shared" si="10"/>
        <v>0</v>
      </c>
      <c r="Q40" s="38">
        <f t="shared" ca="1" si="11"/>
        <v>0</v>
      </c>
      <c r="R40" s="38">
        <f t="shared" si="12"/>
        <v>0</v>
      </c>
      <c r="S40" s="38">
        <f t="shared" ca="1" si="13"/>
        <v>0</v>
      </c>
      <c r="T40" s="16" t="str">
        <f t="shared" si="14"/>
        <v>Leistungswert eintragen</v>
      </c>
      <c r="U40" s="16">
        <f t="shared" si="15"/>
        <v>540</v>
      </c>
      <c r="V40" s="16" t="str">
        <f t="shared" si="8"/>
        <v/>
      </c>
    </row>
    <row r="41" spans="1:22" ht="15" customHeight="1" x14ac:dyDescent="0.2">
      <c r="A41" s="78">
        <v>20</v>
      </c>
      <c r="B41" s="88">
        <v>114</v>
      </c>
      <c r="C41" s="89" t="s">
        <v>276</v>
      </c>
      <c r="D41" s="89"/>
      <c r="E41" s="89" t="s">
        <v>233</v>
      </c>
      <c r="F41" s="89" t="s">
        <v>229</v>
      </c>
      <c r="G41" s="90">
        <v>59.38</v>
      </c>
      <c r="H41" s="90"/>
      <c r="I41" s="90"/>
      <c r="J41" s="78" t="s">
        <v>308</v>
      </c>
      <c r="K41" s="90">
        <v>2</v>
      </c>
      <c r="L41" s="38">
        <f>VLOOKUP(K41,Reinigungstage!$A$10:$L$31,12,FALSE)</f>
        <v>79.36</v>
      </c>
      <c r="M41" s="38">
        <f t="shared" si="9"/>
        <v>4712.3999999999996</v>
      </c>
      <c r="N41" s="92">
        <f t="shared" si="1"/>
        <v>0</v>
      </c>
      <c r="O41" s="38">
        <f ca="1">IF('SVS UnterhaltsRG'!$H$61="",0,'SVS UnterhaltsRG'!$H$61)</f>
        <v>0</v>
      </c>
      <c r="P41" s="38">
        <f t="shared" si="10"/>
        <v>0</v>
      </c>
      <c r="Q41" s="38">
        <f t="shared" ca="1" si="11"/>
        <v>0</v>
      </c>
      <c r="R41" s="38">
        <f t="shared" si="12"/>
        <v>0</v>
      </c>
      <c r="S41" s="38">
        <f t="shared" ca="1" si="13"/>
        <v>0</v>
      </c>
      <c r="T41" s="16" t="str">
        <f t="shared" si="14"/>
        <v>Leistungswert eintragen</v>
      </c>
      <c r="U41" s="16">
        <f t="shared" si="15"/>
        <v>540</v>
      </c>
      <c r="V41" s="16" t="str">
        <f t="shared" si="8"/>
        <v/>
      </c>
    </row>
    <row r="42" spans="1:22" ht="15" customHeight="1" x14ac:dyDescent="0.2">
      <c r="A42" s="78">
        <v>21</v>
      </c>
      <c r="B42" s="88">
        <v>116</v>
      </c>
      <c r="C42" s="89" t="s">
        <v>276</v>
      </c>
      <c r="D42" s="89"/>
      <c r="E42" s="89" t="s">
        <v>233</v>
      </c>
      <c r="F42" s="89" t="s">
        <v>229</v>
      </c>
      <c r="G42" s="90">
        <v>59.38</v>
      </c>
      <c r="H42" s="90"/>
      <c r="I42" s="90"/>
      <c r="J42" s="78" t="s">
        <v>308</v>
      </c>
      <c r="K42" s="90">
        <v>2</v>
      </c>
      <c r="L42" s="38">
        <f>VLOOKUP(K42,Reinigungstage!$A$10:$L$31,12,FALSE)</f>
        <v>79.36</v>
      </c>
      <c r="M42" s="38">
        <f t="shared" si="9"/>
        <v>4712.3999999999996</v>
      </c>
      <c r="N42" s="92">
        <f t="shared" si="1"/>
        <v>0</v>
      </c>
      <c r="O42" s="38">
        <f ca="1">IF('SVS UnterhaltsRG'!$H$61="",0,'SVS UnterhaltsRG'!$H$61)</f>
        <v>0</v>
      </c>
      <c r="P42" s="38">
        <f t="shared" si="10"/>
        <v>0</v>
      </c>
      <c r="Q42" s="38">
        <f t="shared" ca="1" si="11"/>
        <v>0</v>
      </c>
      <c r="R42" s="38">
        <f t="shared" si="12"/>
        <v>0</v>
      </c>
      <c r="S42" s="38">
        <f t="shared" ca="1" si="13"/>
        <v>0</v>
      </c>
      <c r="T42" s="16" t="str">
        <f t="shared" si="14"/>
        <v>Leistungswert eintragen</v>
      </c>
      <c r="U42" s="16">
        <f t="shared" si="15"/>
        <v>540</v>
      </c>
      <c r="V42" s="16" t="str">
        <f t="shared" si="8"/>
        <v/>
      </c>
    </row>
    <row r="43" spans="1:22" ht="15" customHeight="1" x14ac:dyDescent="0.2">
      <c r="A43" s="78">
        <v>22</v>
      </c>
      <c r="B43" s="88">
        <v>117</v>
      </c>
      <c r="C43" s="89" t="s">
        <v>276</v>
      </c>
      <c r="D43" s="89"/>
      <c r="E43" s="89" t="s">
        <v>233</v>
      </c>
      <c r="F43" s="89" t="s">
        <v>229</v>
      </c>
      <c r="G43" s="90">
        <v>59.38</v>
      </c>
      <c r="H43" s="90"/>
      <c r="I43" s="90"/>
      <c r="J43" s="78" t="s">
        <v>308</v>
      </c>
      <c r="K43" s="90">
        <v>2</v>
      </c>
      <c r="L43" s="38">
        <f>VLOOKUP(K43,Reinigungstage!$A$10:$L$31,12,FALSE)</f>
        <v>79.36</v>
      </c>
      <c r="M43" s="38">
        <f t="shared" si="9"/>
        <v>4712.3999999999996</v>
      </c>
      <c r="N43" s="92">
        <f t="shared" si="1"/>
        <v>0</v>
      </c>
      <c r="O43" s="38">
        <f ca="1">IF('SVS UnterhaltsRG'!$H$61="",0,'SVS UnterhaltsRG'!$H$61)</f>
        <v>0</v>
      </c>
      <c r="P43" s="38">
        <f t="shared" si="10"/>
        <v>0</v>
      </c>
      <c r="Q43" s="38">
        <f t="shared" ca="1" si="11"/>
        <v>0</v>
      </c>
      <c r="R43" s="38">
        <f t="shared" si="12"/>
        <v>0</v>
      </c>
      <c r="S43" s="38">
        <f t="shared" ca="1" si="13"/>
        <v>0</v>
      </c>
      <c r="T43" s="16" t="str">
        <f t="shared" si="14"/>
        <v>Leistungswert eintragen</v>
      </c>
      <c r="U43" s="16">
        <f t="shared" si="15"/>
        <v>540</v>
      </c>
      <c r="V43" s="16" t="str">
        <f t="shared" si="8"/>
        <v/>
      </c>
    </row>
    <row r="44" spans="1:22" ht="15" customHeight="1" x14ac:dyDescent="0.2">
      <c r="A44" s="78">
        <v>23</v>
      </c>
      <c r="B44" s="88">
        <v>119</v>
      </c>
      <c r="C44" s="89" t="s">
        <v>276</v>
      </c>
      <c r="D44" s="89"/>
      <c r="E44" s="89" t="s">
        <v>233</v>
      </c>
      <c r="F44" s="89" t="s">
        <v>229</v>
      </c>
      <c r="G44" s="90">
        <v>67.33</v>
      </c>
      <c r="H44" s="90"/>
      <c r="I44" s="90"/>
      <c r="J44" s="78" t="s">
        <v>308</v>
      </c>
      <c r="K44" s="90">
        <v>2</v>
      </c>
      <c r="L44" s="38">
        <f>VLOOKUP(K44,Reinigungstage!$A$10:$L$31,12,FALSE)</f>
        <v>79.36</v>
      </c>
      <c r="M44" s="38">
        <f t="shared" si="9"/>
        <v>5343.31</v>
      </c>
      <c r="N44" s="92">
        <f t="shared" si="1"/>
        <v>0</v>
      </c>
      <c r="O44" s="38">
        <f ca="1">IF('SVS UnterhaltsRG'!$H$61="",0,'SVS UnterhaltsRG'!$H$61)</f>
        <v>0</v>
      </c>
      <c r="P44" s="38">
        <f t="shared" si="10"/>
        <v>0</v>
      </c>
      <c r="Q44" s="38">
        <f t="shared" ca="1" si="11"/>
        <v>0</v>
      </c>
      <c r="R44" s="38">
        <f t="shared" si="12"/>
        <v>0</v>
      </c>
      <c r="S44" s="38">
        <f t="shared" ca="1" si="13"/>
        <v>0</v>
      </c>
      <c r="T44" s="16" t="str">
        <f t="shared" si="14"/>
        <v>Leistungswert eintragen</v>
      </c>
      <c r="U44" s="16">
        <f t="shared" si="15"/>
        <v>540</v>
      </c>
      <c r="V44" s="16" t="str">
        <f t="shared" si="8"/>
        <v/>
      </c>
    </row>
  </sheetData>
  <sheetProtection algorithmName="SHA-512" hashValue="JQJQ+PQPBVV0J/Q4BUaL34iVr9VxQgmxoG7BoWZUwgGEM3OFK9V9y5OETc1YQGQ5FepAlx8pIhuy/E+mjMHCVw==" saltValue="x2gD/LV7GcUC+m2KNCMnGg==" spinCount="100000" sheet="1" objects="1" scenarios="1"/>
  <mergeCells count="16">
    <mergeCell ref="B12:E12"/>
    <mergeCell ref="B13:E13"/>
    <mergeCell ref="N2:R5"/>
    <mergeCell ref="B6:E6"/>
    <mergeCell ref="B7:E7"/>
    <mergeCell ref="B8:E8"/>
    <mergeCell ref="B9:E9"/>
    <mergeCell ref="B10:E10"/>
    <mergeCell ref="B11:E11"/>
    <mergeCell ref="A2:E2"/>
    <mergeCell ref="G2:G3"/>
    <mergeCell ref="H2:H3"/>
    <mergeCell ref="I2:I3"/>
    <mergeCell ref="J2:J3"/>
    <mergeCell ref="A4:A5"/>
    <mergeCell ref="B4:E5"/>
  </mergeCells>
  <conditionalFormatting sqref="L8">
    <cfRule type="containsText" dxfId="19" priority="10"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18" priority="9" operator="containsText" text="Bitte prüfen Sie diese.">
      <formula>NOT(ISERROR(SEARCH("Bitte prüfen Sie diese.",L9)))</formula>
    </cfRule>
  </conditionalFormatting>
  <conditionalFormatting sqref="L10">
    <cfRule type="containsText" dxfId="17" priority="8"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16" priority="7" operator="containsText" text="lediglich Fehleingaben vermeiden wollen.">
      <formula>NOT(ISERROR(SEARCH("lediglich Fehleingaben vermeiden wollen.",L11)))</formula>
    </cfRule>
  </conditionalFormatting>
  <conditionalFormatting sqref="M11">
    <cfRule type="containsText" dxfId="15" priority="12" operator="containsText" text="Bitte die Leistungswerte prüfen. Es handelt sich um eine UnterhaltsRG (Teilreinigung);">
      <formula>NOT(ISERROR(SEARCH("Bitte die Leistungswerte prüfen. Es handelt sich um eine UnterhaltsRG (Teilreinigung);",M11)))</formula>
    </cfRule>
  </conditionalFormatting>
  <conditionalFormatting sqref="M12">
    <cfRule type="containsText" dxfId="14" priority="11" operator="containsText" text="hier müssen nur die Mülleimer entleert werden.">
      <formula>NOT(ISERROR(SEARCH("hier müssen nur die Mülleimer entleert werden.",M12)))</formula>
    </cfRule>
  </conditionalFormatting>
  <conditionalFormatting sqref="N14">
    <cfRule type="expression" dxfId="13" priority="1">
      <formula>$N$14=0</formula>
    </cfRule>
    <cfRule type="expression" dxfId="12" priority="3">
      <formula>IF(H4="","",$N$14&gt;0)</formula>
    </cfRule>
  </conditionalFormatting>
  <conditionalFormatting sqref="N22:N44">
    <cfRule type="expression" dxfId="11" priority="15" stopIfTrue="1">
      <formula>V22=0</formula>
    </cfRule>
    <cfRule type="expression" dxfId="10" priority="16" stopIfTrue="1">
      <formula>V22=1</formula>
    </cfRule>
  </conditionalFormatting>
  <conditionalFormatting sqref="O13">
    <cfRule type="containsText" dxfId="9" priority="14"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8" priority="4" operator="containsText" text="Wert(e) prüfen.">
      <formula>NOT(ISERROR(SEARCH("Wert(e) prüfen.",O14)))</formula>
    </cfRule>
  </conditionalFormatting>
  <conditionalFormatting sqref="T22:T44">
    <cfRule type="containsText" dxfId="7" priority="17" stopIfTrue="1" operator="containsText" text="SVS prüfen">
      <formula>NOT(ISERROR(SEARCH("SVS prüfen",T22)))</formula>
    </cfRule>
    <cfRule type="containsText" dxfId="6" priority="18" stopIfTrue="1" operator="containsText" text="Leistungswert eintragen">
      <formula>NOT(ISERROR(SEARCH("Leistungswert eintragen",T22)))</formula>
    </cfRule>
  </conditionalFormatting>
  <hyperlinks>
    <hyperlink ref="M1" location="Inhaltsverzeichnis!A1" display="Zurück zum Inhaltsverzeichnis" xr:uid="{D204D8F6-19A2-4A4D-88F2-A8299ECBCBF8}"/>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&amp;N&amp;R&amp;A</oddFooter>
  </headerFooter>
  <rowBreaks count="1" manualBreakCount="1">
    <brk id="44" max="16383" man="1"/>
  </rowBreaks>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9809"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4">
    <tabColor indexed="16"/>
  </sheetPr>
  <dimension ref="A1:Q24"/>
  <sheetViews>
    <sheetView showGridLines="0" zoomScaleNormal="100" workbookViewId="0"/>
  </sheetViews>
  <sheetFormatPr baseColWidth="10" defaultColWidth="0" defaultRowHeight="10.5" x14ac:dyDescent="0.15"/>
  <cols>
    <col min="1" max="1" width="6.7109375" style="102" customWidth="1"/>
    <col min="2" max="2" width="29.28515625" style="102" customWidth="1"/>
    <col min="3" max="3" width="11.140625" style="103" customWidth="1"/>
    <col min="4" max="4" width="9.140625" style="102" customWidth="1"/>
    <col min="5" max="5" width="16" style="102" bestFit="1" customWidth="1"/>
    <col min="6" max="6" width="12.7109375" style="102" customWidth="1"/>
    <col min="7" max="7" width="13.28515625" style="102" customWidth="1"/>
    <col min="8" max="8" width="12.140625" style="102" customWidth="1"/>
    <col min="9" max="9" width="13.28515625" style="102" customWidth="1"/>
    <col min="10" max="10" width="14.140625" style="102" customWidth="1"/>
    <col min="11" max="12" width="12.85546875" style="102" customWidth="1"/>
    <col min="13" max="13" width="25.7109375" style="102" customWidth="1"/>
    <col min="14" max="14" width="13.28515625" style="102" hidden="1" customWidth="1"/>
    <col min="15" max="15" width="10" style="102" hidden="1" customWidth="1"/>
    <col min="16" max="16" width="11.42578125" style="102" hidden="1" customWidth="1"/>
    <col min="17" max="17" width="10.5703125" style="102" hidden="1" customWidth="1"/>
    <col min="18" max="16384" width="6.42578125" style="102" hidden="1"/>
  </cols>
  <sheetData>
    <row r="1" spans="1:16" s="16" customFormat="1" ht="36" customHeight="1" x14ac:dyDescent="0.2">
      <c r="A1" s="16" t="s">
        <v>201</v>
      </c>
      <c r="C1" s="17"/>
      <c r="F1" s="101"/>
      <c r="G1" s="129" t="str">
        <f>IF(F2=TRUE,"Bitte tragen Sie Ihre Leistungswerte in die gelben Zellen direkt unter der Zelle Leistungswerte (m²/h) ein. " &amp; "Die Leistungswerte werden automatisch in die untere Kalkulation übernommen.  
Die Steigerkosten sind pro Objekt in der Spalte SteigerKosten (€) einzutragen. Wenn keine Kosten dafür anfallen, bitte eine 0 eintragen.",IF(F3=TRUE,
"Die rot markierten Informationen sind nur zur Unterstützung. Sie zeigen an, wenn gelbe Zellen in dieser Tabelle oder in dem Stundenverrechnungssatz (SVS GlasRG) nicht ausgefüllt sind. " &amp;
"Wenn keine rote Schrift mehr angezeigt wird, ist alles ausgefüllt.",""))</f>
        <v/>
      </c>
      <c r="H1" s="129"/>
      <c r="I1" s="129"/>
      <c r="J1" s="129"/>
      <c r="K1" s="129"/>
      <c r="L1" s="129"/>
      <c r="M1" s="1" t="s">
        <v>100</v>
      </c>
      <c r="O1" s="16">
        <v>1</v>
      </c>
      <c r="P1" s="16">
        <v>40</v>
      </c>
    </row>
    <row r="2" spans="1:16" s="16" customFormat="1" ht="25.9" customHeight="1" x14ac:dyDescent="0.2">
      <c r="A2" s="16" t="s">
        <v>103</v>
      </c>
      <c r="B2" s="15" t="str">
        <f>IF(Inhaltsverzeichnis!$C$3="", "",Inhaltsverzeichnis!$C$3)</f>
        <v/>
      </c>
      <c r="C2" s="17"/>
      <c r="F2" s="8" t="b">
        <v>0</v>
      </c>
      <c r="G2" s="129"/>
      <c r="H2" s="129"/>
      <c r="I2" s="129"/>
      <c r="J2" s="129"/>
      <c r="K2" s="129"/>
      <c r="L2" s="129"/>
      <c r="O2" s="16">
        <v>2</v>
      </c>
      <c r="P2" s="16">
        <v>40</v>
      </c>
    </row>
    <row r="3" spans="1:16" s="16" customFormat="1" ht="27" customHeight="1" x14ac:dyDescent="0.2">
      <c r="B3" s="15"/>
      <c r="C3" s="17"/>
      <c r="F3" s="8" t="b">
        <v>0</v>
      </c>
      <c r="H3" s="176" t="str">
        <f>IF(COUNTIF(P:P,1)&gt;0,"Bitte beachten Sie die Hinweise zur Ermittlung der Leistungswerte am Ende der Kalkulationstabelle.","")</f>
        <v/>
      </c>
      <c r="I3" s="176"/>
      <c r="J3" s="176"/>
      <c r="K3" s="176"/>
      <c r="M3" s="84">
        <f>IF(COUNTA($M$5:$M$6)-COUNTBLANK($M$5:$M$6)=0,"",COUNTA($M$5:$M$6)-COUNTBLANK($M$5:$M$6))</f>
        <v>2</v>
      </c>
      <c r="O3" s="16">
        <v>3</v>
      </c>
      <c r="P3" s="16">
        <v>30</v>
      </c>
    </row>
    <row r="4" spans="1:16" ht="45" customHeight="1" x14ac:dyDescent="0.15">
      <c r="A4" s="96" t="s">
        <v>92</v>
      </c>
      <c r="B4" s="96" t="s">
        <v>114</v>
      </c>
      <c r="C4" s="33" t="s">
        <v>165</v>
      </c>
      <c r="D4" s="33" t="s">
        <v>105</v>
      </c>
      <c r="E4" s="33" t="s">
        <v>166</v>
      </c>
      <c r="F4" s="33" t="s">
        <v>167</v>
      </c>
      <c r="G4" s="33" t="s">
        <v>164</v>
      </c>
      <c r="H4" s="33" t="s">
        <v>200</v>
      </c>
      <c r="I4" s="33" t="s">
        <v>168</v>
      </c>
      <c r="J4" s="33" t="s">
        <v>199</v>
      </c>
      <c r="K4" s="33" t="s">
        <v>115</v>
      </c>
      <c r="L4" s="33" t="s">
        <v>116</v>
      </c>
      <c r="O4" s="16">
        <v>4</v>
      </c>
      <c r="P4" s="16">
        <v>25</v>
      </c>
    </row>
    <row r="5" spans="1:16" ht="15" customHeight="1" x14ac:dyDescent="0.15">
      <c r="A5" s="78">
        <v>1</v>
      </c>
      <c r="B5" s="60" t="s">
        <v>214</v>
      </c>
      <c r="C5" s="78" t="s">
        <v>377</v>
      </c>
      <c r="D5" s="90" t="s">
        <v>160</v>
      </c>
      <c r="E5" s="38">
        <v>1159.94</v>
      </c>
      <c r="F5" s="38">
        <v>2</v>
      </c>
      <c r="G5" s="38">
        <f>VLOOKUP(D5,Reinigungstage!A10:G31,7,FALSE)</f>
        <v>1</v>
      </c>
      <c r="H5" s="38">
        <f>ROUND(E5*F5*G5,2)</f>
        <v>2319.88</v>
      </c>
      <c r="I5" s="92"/>
      <c r="J5" s="92"/>
      <c r="K5" s="38">
        <f ca="1">IF('SVS GlasRG'!H61="",0,'SVS GlasRG'!H61)</f>
        <v>0</v>
      </c>
      <c r="L5" s="38">
        <f>IF(I5="",0,IF(J5="",0,IF(K5=0,0,ROUND((H5*K5/J5)+(I5*G5),2))))</f>
        <v>0</v>
      </c>
      <c r="M5" s="16" t="str">
        <f>IF(H5=0,"",IF(I5="","Steigerkosten eintragen",IF(J5=0,"Leistungswert eintragen",IF(K5=0,"SVS prüfen",""))))</f>
        <v>Steigerkosten eintragen</v>
      </c>
      <c r="N5" s="102">
        <f t="shared" ref="N5:N6" si="0">F5</f>
        <v>2</v>
      </c>
      <c r="O5" s="102">
        <f t="shared" ref="O5:O6" si="1">IFERROR(VLOOKUP(N5,$O$1:$P$4,2,FALSE),"")</f>
        <v>40</v>
      </c>
      <c r="P5" s="102" t="str">
        <f t="shared" ref="P5:P6" si="2">IF(J5="","",IF(J5&gt;=O5,0,IF(J5&lt;O5*0.75,1,"")))</f>
        <v/>
      </c>
    </row>
    <row r="6" spans="1:16" ht="15" customHeight="1" x14ac:dyDescent="0.15">
      <c r="A6" s="78">
        <v>2</v>
      </c>
      <c r="B6" s="60" t="s">
        <v>220</v>
      </c>
      <c r="C6" s="78" t="s">
        <v>377</v>
      </c>
      <c r="D6" s="90" t="s">
        <v>160</v>
      </c>
      <c r="E6" s="38">
        <v>428.85000000000008</v>
      </c>
      <c r="F6" s="38">
        <v>2</v>
      </c>
      <c r="G6" s="38">
        <f>VLOOKUP(D6,Reinigungstage!A10:G31,7,FALSE)</f>
        <v>1</v>
      </c>
      <c r="H6" s="38">
        <f>ROUND(E6*F6*G6,2)</f>
        <v>857.7</v>
      </c>
      <c r="I6" s="92"/>
      <c r="J6" s="92"/>
      <c r="K6" s="38">
        <f ca="1">IF('SVS GlasRG'!H61="",0,'SVS GlasRG'!H61)</f>
        <v>0</v>
      </c>
      <c r="L6" s="38">
        <f>IF(I6="",0,IF(J6="",0,IF(K6=0,0,ROUND((H6*K6/J6)+(I6*G6),2))))</f>
        <v>0</v>
      </c>
      <c r="M6" s="16" t="str">
        <f>IF(H6=0,"",IF(I6="","Steigerkosten eintragen",IF(J6=0,"Leistungswert eintragen",IF(K6=0,"SVS prüfen",""))))</f>
        <v>Steigerkosten eintragen</v>
      </c>
      <c r="N6" s="102">
        <f t="shared" si="0"/>
        <v>2</v>
      </c>
      <c r="O6" s="102">
        <f t="shared" si="1"/>
        <v>40</v>
      </c>
      <c r="P6" s="102" t="str">
        <f t="shared" si="2"/>
        <v/>
      </c>
    </row>
    <row r="8" spans="1:16" ht="15" customHeight="1" x14ac:dyDescent="0.15">
      <c r="B8" s="129" t="s">
        <v>400</v>
      </c>
      <c r="C8" s="129"/>
      <c r="D8" s="129"/>
      <c r="E8" s="129"/>
      <c r="F8" s="129"/>
      <c r="G8" s="129"/>
      <c r="H8" s="129"/>
      <c r="I8" s="129"/>
    </row>
    <row r="9" spans="1:16" x14ac:dyDescent="0.15">
      <c r="B9" s="102" t="s">
        <v>401</v>
      </c>
    </row>
    <row r="10" spans="1:16" x14ac:dyDescent="0.15">
      <c r="B10" s="104" t="s">
        <v>402</v>
      </c>
    </row>
    <row r="11" spans="1:16" x14ac:dyDescent="0.15">
      <c r="B11" s="104" t="s">
        <v>403</v>
      </c>
    </row>
    <row r="13" spans="1:16" x14ac:dyDescent="0.15">
      <c r="B13" s="102" t="s">
        <v>404</v>
      </c>
    </row>
    <row r="14" spans="1:16" x14ac:dyDescent="0.15">
      <c r="B14" s="102" t="s">
        <v>405</v>
      </c>
    </row>
    <row r="15" spans="1:16" x14ac:dyDescent="0.15">
      <c r="B15" s="102" t="s">
        <v>406</v>
      </c>
    </row>
    <row r="17" spans="2:2" x14ac:dyDescent="0.15">
      <c r="B17" s="104" t="s">
        <v>407</v>
      </c>
    </row>
    <row r="18" spans="2:2" x14ac:dyDescent="0.15">
      <c r="B18" s="102" t="s">
        <v>408</v>
      </c>
    </row>
    <row r="20" spans="2:2" x14ac:dyDescent="0.15">
      <c r="B20" s="102" t="s">
        <v>409</v>
      </c>
    </row>
    <row r="21" spans="2:2" x14ac:dyDescent="0.15">
      <c r="B21" s="102" t="s">
        <v>410</v>
      </c>
    </row>
    <row r="23" spans="2:2" x14ac:dyDescent="0.15">
      <c r="B23" s="102" t="s">
        <v>411</v>
      </c>
    </row>
    <row r="24" spans="2:2" x14ac:dyDescent="0.15">
      <c r="B24" s="104" t="s">
        <v>412</v>
      </c>
    </row>
  </sheetData>
  <sheetProtection algorithmName="SHA-512" hashValue="ztdGgg+UuzqJr1XjP+Hqf5OeZs1OvfMFs+kwdUuAfY0/AY1QBsvdUJnjQ1gCXNLQoa4/AKPAaNPAPOMtsNBTyg==" saltValue="ynHaEe6GjaRv7yvKUsGnTg==" spinCount="100000" sheet="1" objects="1" scenarios="1"/>
  <mergeCells count="3">
    <mergeCell ref="G1:L2"/>
    <mergeCell ref="H3:K3"/>
    <mergeCell ref="B8:I8"/>
  </mergeCells>
  <phoneticPr fontId="3" type="noConversion"/>
  <conditionalFormatting sqref="M5:M6">
    <cfRule type="containsText" dxfId="5" priority="1" stopIfTrue="1" operator="containsText" text="Steigerkosten eintragen">
      <formula>NOT(ISERROR(SEARCH("Steigerkosten eintragen",M5)))</formula>
    </cfRule>
    <cfRule type="containsText" dxfId="4" priority="2" stopIfTrue="1" operator="containsText" text="SVS prüfen">
      <formula>NOT(ISERROR(SEARCH("SVS prüfen",M5)))</formula>
    </cfRule>
    <cfRule type="containsText" dxfId="3" priority="3" stopIfTrue="1" operator="containsText" text="Leistungswert eintragen">
      <formula>NOT(ISERROR(SEARCH("Leistungswert eintragen",M5)))</formula>
    </cfRule>
    <cfRule type="containsText" dxfId="2" priority="4" stopIfTrue="1" operator="containsText" text="Steigerkosten eintragen">
      <formula>NOT(ISERROR(SEARCH("Steigerkosten eintragen",M5)))</formula>
    </cfRule>
    <cfRule type="containsText" dxfId="1" priority="5" stopIfTrue="1" operator="containsText" text="SVS prüfen">
      <formula>NOT(ISERROR(SEARCH("SVS prüfen",M5)))</formula>
    </cfRule>
    <cfRule type="containsText" dxfId="0" priority="6" stopIfTrue="1" operator="containsText" text="Leistungswert eintragen">
      <formula>NOT(ISERROR(SEARCH("Leistungswert eintragen",M5)))</formula>
    </cfRule>
  </conditionalFormatting>
  <hyperlinks>
    <hyperlink ref="M1" location="Inhaltsverzeichnis!A1" display="Zurück zum Inhaltsverzeichnis" xr:uid="{00000000-0004-0000-1000-000000000000}"/>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Glas Gesamt</oddFooter>
  </headerFooter>
  <rowBreaks count="1" manualBreakCount="1">
    <brk id="24" max="16383" man="1"/>
  </rowBreaks>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57150</xdr:colOff>
                    <xdr:row>1</xdr:row>
                    <xdr:rowOff>76200</xdr:rowOff>
                  </from>
                  <to>
                    <xdr:col>5</xdr:col>
                    <xdr:colOff>819150</xdr:colOff>
                    <xdr:row>1</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ltText="Hinweis 2">
                <anchor moveWithCells="1">
                  <from>
                    <xdr:col>5</xdr:col>
                    <xdr:colOff>57150</xdr:colOff>
                    <xdr:row>2</xdr:row>
                    <xdr:rowOff>0</xdr:rowOff>
                  </from>
                  <to>
                    <xdr:col>5</xdr:col>
                    <xdr:colOff>819150</xdr:colOff>
                    <xdr:row>2</xdr:row>
                    <xdr:rowOff>228600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9">
    <tabColor indexed="16"/>
  </sheetPr>
  <dimension ref="A1:L31"/>
  <sheetViews>
    <sheetView showGridLines="0" zoomScaleNormal="100" workbookViewId="0"/>
  </sheetViews>
  <sheetFormatPr baseColWidth="10" defaultColWidth="6.42578125" defaultRowHeight="10.5" x14ac:dyDescent="0.15"/>
  <cols>
    <col min="1" max="1" width="22.42578125" style="102" customWidth="1"/>
    <col min="2" max="10" width="13.7109375" style="17" customWidth="1"/>
    <col min="11" max="11" width="16" style="102" customWidth="1"/>
    <col min="12" max="52" width="13.7109375" style="102" customWidth="1"/>
    <col min="53" max="16384" width="6.42578125" style="102"/>
  </cols>
  <sheetData>
    <row r="1" spans="1:12" s="16" customFormat="1" ht="35.450000000000003" customHeight="1" x14ac:dyDescent="0.2">
      <c r="A1" s="16" t="s">
        <v>202</v>
      </c>
      <c r="B1" s="17"/>
      <c r="C1" s="17"/>
      <c r="D1" s="113" t="b">
        <v>0</v>
      </c>
      <c r="E1" s="129" t="str">
        <f>IF(D1=TRUE,"Hier muss nichts ausgefüllt werden. Sie sehen hier die Reinigungsarten mit den maximalen Reinigungstagen. Mehrere Tabellen greifen hierauf zu.","")</f>
        <v/>
      </c>
      <c r="F1" s="129"/>
      <c r="G1" s="129"/>
      <c r="H1" s="129"/>
      <c r="I1" s="12" t="s">
        <v>100</v>
      </c>
      <c r="J1" s="17"/>
    </row>
    <row r="2" spans="1:12" s="16" customFormat="1" ht="26.45" customHeight="1" x14ac:dyDescent="0.2">
      <c r="A2" s="16" t="s">
        <v>103</v>
      </c>
      <c r="B2" s="15" t="str">
        <f>IF(Inhaltsverzeichnis!$C$3="","",Inhaltsverzeichnis!$C$3)</f>
        <v/>
      </c>
      <c r="C2" s="17"/>
      <c r="D2" s="17"/>
      <c r="E2" s="129"/>
      <c r="F2" s="129"/>
      <c r="G2" s="129"/>
      <c r="H2" s="129"/>
      <c r="I2" s="17"/>
      <c r="J2" s="17"/>
    </row>
    <row r="3" spans="1:12" s="16" customFormat="1" ht="15" customHeight="1" x14ac:dyDescent="0.2">
      <c r="B3" s="17"/>
      <c r="C3" s="17"/>
      <c r="D3" s="17"/>
      <c r="E3" s="94"/>
      <c r="F3" s="94"/>
      <c r="G3" s="17"/>
      <c r="H3" s="17"/>
      <c r="I3" s="17"/>
      <c r="J3" s="17"/>
    </row>
    <row r="4" spans="1:12" ht="25.5" customHeight="1" x14ac:dyDescent="0.15">
      <c r="A4" s="96" t="s">
        <v>114</v>
      </c>
      <c r="B4" s="96" t="s">
        <v>214</v>
      </c>
      <c r="C4" s="96" t="s">
        <v>220</v>
      </c>
      <c r="D4" s="96" t="s">
        <v>214</v>
      </c>
      <c r="E4" s="96" t="s">
        <v>220</v>
      </c>
      <c r="F4" s="96" t="s">
        <v>214</v>
      </c>
      <c r="G4" s="96" t="s">
        <v>220</v>
      </c>
      <c r="H4" s="96" t="s">
        <v>214</v>
      </c>
      <c r="I4" s="96" t="s">
        <v>220</v>
      </c>
      <c r="J4" s="96" t="s">
        <v>214</v>
      </c>
      <c r="K4" s="96" t="s">
        <v>214</v>
      </c>
      <c r="L4" s="96" t="s">
        <v>214</v>
      </c>
    </row>
    <row r="5" spans="1:12" ht="25.5" customHeight="1" x14ac:dyDescent="0.15">
      <c r="A5" s="96" t="s">
        <v>162</v>
      </c>
      <c r="B5" s="96" t="s">
        <v>378</v>
      </c>
      <c r="C5" s="96" t="s">
        <v>378</v>
      </c>
      <c r="D5" s="96" t="s">
        <v>378</v>
      </c>
      <c r="E5" s="96" t="s">
        <v>378</v>
      </c>
      <c r="F5" s="96" t="s">
        <v>378</v>
      </c>
      <c r="G5" s="96" t="s">
        <v>378</v>
      </c>
      <c r="H5" s="96" t="s">
        <v>378</v>
      </c>
      <c r="I5" s="96" t="s">
        <v>378</v>
      </c>
      <c r="J5" s="96" t="s">
        <v>378</v>
      </c>
      <c r="K5" s="96" t="s">
        <v>378</v>
      </c>
      <c r="L5" s="96" t="s">
        <v>378</v>
      </c>
    </row>
    <row r="6" spans="1:12" ht="25.5" customHeight="1" x14ac:dyDescent="0.15">
      <c r="A6" s="96" t="s">
        <v>118</v>
      </c>
      <c r="B6" s="33" t="s">
        <v>379</v>
      </c>
      <c r="C6" s="33" t="s">
        <v>379</v>
      </c>
      <c r="D6" s="33" t="s">
        <v>381</v>
      </c>
      <c r="E6" s="33" t="s">
        <v>381</v>
      </c>
      <c r="F6" s="33" t="s">
        <v>382</v>
      </c>
      <c r="G6" s="33" t="s">
        <v>382</v>
      </c>
      <c r="H6" s="33" t="s">
        <v>383</v>
      </c>
      <c r="I6" s="33" t="s">
        <v>383</v>
      </c>
      <c r="J6" s="33" t="s">
        <v>384</v>
      </c>
      <c r="K6" s="33" t="s">
        <v>385</v>
      </c>
      <c r="L6" s="33" t="s">
        <v>420</v>
      </c>
    </row>
    <row r="7" spans="1:12" ht="35.1" customHeight="1" x14ac:dyDescent="0.15">
      <c r="A7" s="33" t="s">
        <v>205</v>
      </c>
      <c r="B7" s="105">
        <v>196</v>
      </c>
      <c r="C7" s="105">
        <v>196</v>
      </c>
      <c r="D7" s="105">
        <v>1</v>
      </c>
      <c r="E7" s="105">
        <v>1</v>
      </c>
      <c r="F7" s="105">
        <v>1</v>
      </c>
      <c r="G7" s="105">
        <v>1</v>
      </c>
      <c r="H7" s="105">
        <v>57.66</v>
      </c>
      <c r="I7" s="105">
        <v>57.66</v>
      </c>
      <c r="J7" s="105">
        <v>4</v>
      </c>
      <c r="K7" s="105">
        <v>5</v>
      </c>
      <c r="L7" s="105">
        <v>191</v>
      </c>
    </row>
    <row r="8" spans="1:12" ht="6" customHeight="1" x14ac:dyDescent="0.15">
      <c r="A8" s="106"/>
      <c r="B8" s="59"/>
      <c r="C8" s="59"/>
      <c r="D8" s="59"/>
      <c r="E8" s="59"/>
      <c r="F8" s="59"/>
      <c r="G8" s="59"/>
      <c r="H8" s="59"/>
      <c r="I8" s="59"/>
      <c r="J8" s="59"/>
      <c r="K8" s="59"/>
      <c r="L8" s="59"/>
    </row>
    <row r="9" spans="1:12" ht="25.5" customHeight="1" x14ac:dyDescent="0.15">
      <c r="A9" s="96" t="s">
        <v>206</v>
      </c>
      <c r="B9" s="33" t="s">
        <v>380</v>
      </c>
      <c r="C9" s="33" t="s">
        <v>380</v>
      </c>
      <c r="D9" s="33" t="s">
        <v>380</v>
      </c>
      <c r="E9" s="33" t="s">
        <v>380</v>
      </c>
      <c r="F9" s="33" t="s">
        <v>380</v>
      </c>
      <c r="G9" s="33" t="s">
        <v>380</v>
      </c>
      <c r="H9" s="33" t="s">
        <v>380</v>
      </c>
      <c r="I9" s="33" t="s">
        <v>380</v>
      </c>
      <c r="J9" s="33" t="s">
        <v>380</v>
      </c>
      <c r="K9" s="33" t="s">
        <v>380</v>
      </c>
      <c r="L9" s="33" t="s">
        <v>380</v>
      </c>
    </row>
    <row r="10" spans="1:12" ht="15" customHeight="1" x14ac:dyDescent="0.15">
      <c r="A10" s="107">
        <v>12</v>
      </c>
      <c r="B10" s="108">
        <f t="shared" ref="B10:B17" si="0">ROUND($B$7/5*A10,2)</f>
        <v>470.4</v>
      </c>
      <c r="C10" s="108">
        <f t="shared" ref="C10:C17" si="1">ROUND($C$7/5*A10,2)</f>
        <v>470.4</v>
      </c>
      <c r="D10" s="109"/>
      <c r="E10" s="109"/>
      <c r="F10" s="109"/>
      <c r="G10" s="109"/>
      <c r="H10" s="108">
        <f t="shared" ref="H10:H17" si="2">ROUND($H$7/5*A10,2)</f>
        <v>138.38</v>
      </c>
      <c r="I10" s="108">
        <f t="shared" ref="I10:I17" si="3">ROUND($I$7/5*A10,2)</f>
        <v>138.38</v>
      </c>
      <c r="J10" s="108">
        <f t="shared" ref="J10:K17" si="4">ROUND($J$7/5*A10,2)</f>
        <v>9.6</v>
      </c>
      <c r="K10" s="108">
        <f t="shared" si="4"/>
        <v>376.32</v>
      </c>
      <c r="L10" s="108">
        <f>ROUND($L$7/5*A10,2)</f>
        <v>458.4</v>
      </c>
    </row>
    <row r="11" spans="1:12" ht="15" customHeight="1" x14ac:dyDescent="0.15">
      <c r="A11" s="107">
        <v>10</v>
      </c>
      <c r="B11" s="108">
        <f t="shared" si="0"/>
        <v>392</v>
      </c>
      <c r="C11" s="108">
        <f t="shared" si="1"/>
        <v>392</v>
      </c>
      <c r="D11" s="109"/>
      <c r="E11" s="109"/>
      <c r="F11" s="109"/>
      <c r="G11" s="109"/>
      <c r="H11" s="108">
        <f t="shared" si="2"/>
        <v>115.32</v>
      </c>
      <c r="I11" s="108">
        <f t="shared" si="3"/>
        <v>115.32</v>
      </c>
      <c r="J11" s="108">
        <f t="shared" si="4"/>
        <v>8</v>
      </c>
      <c r="K11" s="108">
        <f t="shared" si="4"/>
        <v>313.60000000000002</v>
      </c>
      <c r="L11" s="108">
        <f t="shared" ref="L11:L17" si="5">ROUND($L$7/5*A11,2)</f>
        <v>382</v>
      </c>
    </row>
    <row r="12" spans="1:12" ht="15" customHeight="1" x14ac:dyDescent="0.15">
      <c r="A12" s="107">
        <v>7</v>
      </c>
      <c r="B12" s="108">
        <f t="shared" si="0"/>
        <v>274.39999999999998</v>
      </c>
      <c r="C12" s="108">
        <f t="shared" si="1"/>
        <v>274.39999999999998</v>
      </c>
      <c r="D12" s="109"/>
      <c r="E12" s="109"/>
      <c r="F12" s="109"/>
      <c r="G12" s="109"/>
      <c r="H12" s="108">
        <f t="shared" si="2"/>
        <v>80.72</v>
      </c>
      <c r="I12" s="108">
        <f t="shared" si="3"/>
        <v>80.72</v>
      </c>
      <c r="J12" s="108">
        <f t="shared" si="4"/>
        <v>5.6</v>
      </c>
      <c r="K12" s="108">
        <f t="shared" si="4"/>
        <v>219.52</v>
      </c>
      <c r="L12" s="108">
        <f t="shared" si="5"/>
        <v>267.39999999999998</v>
      </c>
    </row>
    <row r="13" spans="1:12" ht="15" customHeight="1" x14ac:dyDescent="0.15">
      <c r="A13" s="107">
        <v>6</v>
      </c>
      <c r="B13" s="108">
        <f t="shared" si="0"/>
        <v>235.2</v>
      </c>
      <c r="C13" s="108">
        <f t="shared" si="1"/>
        <v>235.2</v>
      </c>
      <c r="D13" s="109"/>
      <c r="E13" s="109"/>
      <c r="F13" s="109"/>
      <c r="G13" s="109"/>
      <c r="H13" s="108">
        <f t="shared" si="2"/>
        <v>69.19</v>
      </c>
      <c r="I13" s="108">
        <f t="shared" si="3"/>
        <v>69.19</v>
      </c>
      <c r="J13" s="108">
        <f t="shared" si="4"/>
        <v>4.8</v>
      </c>
      <c r="K13" s="108">
        <f t="shared" si="4"/>
        <v>188.16</v>
      </c>
      <c r="L13" s="108">
        <f t="shared" si="5"/>
        <v>229.2</v>
      </c>
    </row>
    <row r="14" spans="1:12" ht="15" customHeight="1" x14ac:dyDescent="0.15">
      <c r="A14" s="107">
        <v>5</v>
      </c>
      <c r="B14" s="105">
        <f t="shared" si="0"/>
        <v>196</v>
      </c>
      <c r="C14" s="105">
        <f t="shared" si="1"/>
        <v>196</v>
      </c>
      <c r="D14" s="109"/>
      <c r="E14" s="109"/>
      <c r="F14" s="109"/>
      <c r="G14" s="109"/>
      <c r="H14" s="105">
        <f t="shared" si="2"/>
        <v>57.66</v>
      </c>
      <c r="I14" s="105">
        <f t="shared" si="3"/>
        <v>57.66</v>
      </c>
      <c r="J14" s="108">
        <f t="shared" si="4"/>
        <v>4</v>
      </c>
      <c r="K14" s="108">
        <f t="shared" si="4"/>
        <v>156.80000000000001</v>
      </c>
      <c r="L14" s="108">
        <f t="shared" si="5"/>
        <v>191</v>
      </c>
    </row>
    <row r="15" spans="1:12" ht="15" customHeight="1" x14ac:dyDescent="0.15">
      <c r="A15" s="107">
        <v>4</v>
      </c>
      <c r="B15" s="108">
        <f t="shared" si="0"/>
        <v>156.80000000000001</v>
      </c>
      <c r="C15" s="108">
        <f t="shared" si="1"/>
        <v>156.80000000000001</v>
      </c>
      <c r="D15" s="109"/>
      <c r="E15" s="109"/>
      <c r="F15" s="109"/>
      <c r="G15" s="109"/>
      <c r="H15" s="108">
        <f t="shared" si="2"/>
        <v>46.13</v>
      </c>
      <c r="I15" s="108">
        <f t="shared" si="3"/>
        <v>46.13</v>
      </c>
      <c r="J15" s="108">
        <f t="shared" si="4"/>
        <v>3.2</v>
      </c>
      <c r="K15" s="108">
        <f t="shared" si="4"/>
        <v>125.44</v>
      </c>
      <c r="L15" s="108">
        <f t="shared" si="5"/>
        <v>152.80000000000001</v>
      </c>
    </row>
    <row r="16" spans="1:12" ht="15" customHeight="1" x14ac:dyDescent="0.15">
      <c r="A16" s="107">
        <v>3</v>
      </c>
      <c r="B16" s="105">
        <f t="shared" si="0"/>
        <v>117.6</v>
      </c>
      <c r="C16" s="108">
        <f t="shared" si="1"/>
        <v>117.6</v>
      </c>
      <c r="D16" s="109"/>
      <c r="E16" s="109"/>
      <c r="F16" s="109"/>
      <c r="G16" s="109"/>
      <c r="H16" s="105">
        <f t="shared" si="2"/>
        <v>34.6</v>
      </c>
      <c r="I16" s="105">
        <f t="shared" si="3"/>
        <v>34.6</v>
      </c>
      <c r="J16" s="108">
        <f t="shared" si="4"/>
        <v>2.4</v>
      </c>
      <c r="K16" s="108">
        <f t="shared" si="4"/>
        <v>94.08</v>
      </c>
      <c r="L16" s="108">
        <f t="shared" si="5"/>
        <v>114.6</v>
      </c>
    </row>
    <row r="17" spans="1:12" ht="15" customHeight="1" x14ac:dyDescent="0.15">
      <c r="A17" s="107">
        <v>2.5</v>
      </c>
      <c r="B17" s="108">
        <f t="shared" si="0"/>
        <v>98</v>
      </c>
      <c r="C17" s="108">
        <f t="shared" si="1"/>
        <v>98</v>
      </c>
      <c r="D17" s="109"/>
      <c r="E17" s="109"/>
      <c r="F17" s="109"/>
      <c r="G17" s="109"/>
      <c r="H17" s="108">
        <f t="shared" si="2"/>
        <v>28.83</v>
      </c>
      <c r="I17" s="108">
        <f t="shared" si="3"/>
        <v>28.83</v>
      </c>
      <c r="J17" s="108">
        <f t="shared" si="4"/>
        <v>2</v>
      </c>
      <c r="K17" s="108">
        <f t="shared" si="4"/>
        <v>78.400000000000006</v>
      </c>
      <c r="L17" s="108">
        <f t="shared" si="5"/>
        <v>95.5</v>
      </c>
    </row>
    <row r="18" spans="1:12" ht="15" customHeight="1" x14ac:dyDescent="0.15">
      <c r="A18" s="107">
        <v>2</v>
      </c>
      <c r="B18" s="105">
        <f>ROUND(B7*104.29/251,2)</f>
        <v>81.44</v>
      </c>
      <c r="C18" s="105">
        <f>ROUND(C7*104.29/251,2)</f>
        <v>81.44</v>
      </c>
      <c r="D18" s="109"/>
      <c r="E18" s="109"/>
      <c r="F18" s="109"/>
      <c r="G18" s="109"/>
      <c r="H18" s="108">
        <f>ROUND(H7*104.29/251,2)</f>
        <v>23.96</v>
      </c>
      <c r="I18" s="108">
        <f>ROUND(I7*104.29/251,2)</f>
        <v>23.96</v>
      </c>
      <c r="J18" s="108">
        <f>ROUND(J7*104.29/251,2)</f>
        <v>1.66</v>
      </c>
      <c r="K18" s="108">
        <f>ROUND(K7*104.29/251,2)</f>
        <v>2.08</v>
      </c>
      <c r="L18" s="105">
        <f>ROUND(L7*104.29/251,2)</f>
        <v>79.36</v>
      </c>
    </row>
    <row r="19" spans="1:12" ht="15" customHeight="1" x14ac:dyDescent="0.15">
      <c r="A19" s="107">
        <v>1</v>
      </c>
      <c r="B19" s="105">
        <f>ROUND(B7*52.14/251,2)</f>
        <v>40.71</v>
      </c>
      <c r="C19" s="105">
        <f>ROUND(C7*52.14/251,2)</f>
        <v>40.71</v>
      </c>
      <c r="D19" s="109"/>
      <c r="E19" s="109"/>
      <c r="F19" s="109"/>
      <c r="G19" s="109"/>
      <c r="H19" s="105">
        <f>ROUND(H7*52.14/251,2)</f>
        <v>11.98</v>
      </c>
      <c r="I19" s="105">
        <f>ROUND(I7*52.14/251,2)</f>
        <v>11.98</v>
      </c>
      <c r="J19" s="108">
        <f>ROUND(J7*52.14/251,2)</f>
        <v>0.83</v>
      </c>
      <c r="K19" s="108">
        <f>ROUND(K7*52.14/251,2)</f>
        <v>1.04</v>
      </c>
      <c r="L19" s="108">
        <f>ROUND(L7*52.14/251,2)</f>
        <v>39.68</v>
      </c>
    </row>
    <row r="20" spans="1:12" ht="15" customHeight="1" x14ac:dyDescent="0.15">
      <c r="A20" s="107">
        <v>0.5</v>
      </c>
      <c r="B20" s="108">
        <f>ROUND(B7*26.07/251,2)</f>
        <v>20.36</v>
      </c>
      <c r="C20" s="108">
        <f>ROUND(C7*26.07/251,2)</f>
        <v>20.36</v>
      </c>
      <c r="D20" s="109"/>
      <c r="E20" s="109"/>
      <c r="F20" s="109"/>
      <c r="G20" s="109"/>
      <c r="H20" s="108">
        <f>ROUND(H7*26.07/251,2)</f>
        <v>5.99</v>
      </c>
      <c r="I20" s="108">
        <f>ROUND(I7*26.07/251,2)</f>
        <v>5.99</v>
      </c>
      <c r="J20" s="108">
        <f>ROUND(J7*26.07/251,2)</f>
        <v>0.42</v>
      </c>
      <c r="K20" s="108">
        <f>ROUND(K7*26.07/251,2)</f>
        <v>0.52</v>
      </c>
      <c r="L20" s="108">
        <f>ROUND(L7*26.07/251,2)</f>
        <v>19.84</v>
      </c>
    </row>
    <row r="21" spans="1:12" ht="15" customHeight="1" x14ac:dyDescent="0.15">
      <c r="A21" s="107" t="s">
        <v>153</v>
      </c>
      <c r="B21" s="110">
        <f t="shared" ref="B21:G21" si="6">ROUND(11*2,2)</f>
        <v>22</v>
      </c>
      <c r="C21" s="110">
        <f t="shared" si="6"/>
        <v>22</v>
      </c>
      <c r="D21" s="110">
        <f t="shared" si="6"/>
        <v>22</v>
      </c>
      <c r="E21" s="110">
        <f t="shared" si="6"/>
        <v>22</v>
      </c>
      <c r="F21" s="110">
        <f t="shared" si="6"/>
        <v>22</v>
      </c>
      <c r="G21" s="110">
        <f t="shared" si="6"/>
        <v>22</v>
      </c>
      <c r="H21" s="110">
        <v>2</v>
      </c>
      <c r="I21" s="110">
        <v>2</v>
      </c>
      <c r="J21" s="110">
        <f>ROUND(11*2,2)</f>
        <v>22</v>
      </c>
      <c r="K21" s="110">
        <f>ROUND(11*2,2)</f>
        <v>22</v>
      </c>
      <c r="L21" s="110">
        <f t="shared" ref="L21" si="7">ROUND(11*2,2)</f>
        <v>22</v>
      </c>
    </row>
    <row r="22" spans="1:12" ht="15" customHeight="1" x14ac:dyDescent="0.15">
      <c r="A22" s="107" t="s">
        <v>154</v>
      </c>
      <c r="B22" s="111">
        <f t="shared" ref="B22:G22" si="8">ROUND(11*1,2)</f>
        <v>11</v>
      </c>
      <c r="C22" s="111">
        <f t="shared" si="8"/>
        <v>11</v>
      </c>
      <c r="D22" s="110">
        <f t="shared" si="8"/>
        <v>11</v>
      </c>
      <c r="E22" s="110">
        <f t="shared" si="8"/>
        <v>11</v>
      </c>
      <c r="F22" s="110">
        <f t="shared" si="8"/>
        <v>11</v>
      </c>
      <c r="G22" s="110">
        <f t="shared" si="8"/>
        <v>11</v>
      </c>
      <c r="H22" s="110">
        <v>1</v>
      </c>
      <c r="I22" s="111">
        <v>1</v>
      </c>
      <c r="J22" s="110">
        <f>ROUND(11*1,2)</f>
        <v>11</v>
      </c>
      <c r="K22" s="110">
        <f>ROUND(11*1,2)</f>
        <v>11</v>
      </c>
      <c r="L22" s="110">
        <f t="shared" ref="L22" si="9">ROUND(11*1,2)</f>
        <v>11</v>
      </c>
    </row>
    <row r="23" spans="1:12" ht="15" customHeight="1" x14ac:dyDescent="0.15">
      <c r="A23" s="107" t="s">
        <v>155</v>
      </c>
      <c r="B23" s="108">
        <v>6</v>
      </c>
      <c r="C23" s="108">
        <v>6</v>
      </c>
      <c r="D23" s="108">
        <v>6</v>
      </c>
      <c r="E23" s="108">
        <v>6</v>
      </c>
      <c r="F23" s="108">
        <v>6</v>
      </c>
      <c r="G23" s="108">
        <v>6</v>
      </c>
      <c r="H23" s="109"/>
      <c r="I23" s="109"/>
      <c r="J23" s="108">
        <v>6</v>
      </c>
      <c r="K23" s="108">
        <v>6</v>
      </c>
      <c r="L23" s="108">
        <v>6</v>
      </c>
    </row>
    <row r="24" spans="1:12" ht="15" customHeight="1" x14ac:dyDescent="0.15">
      <c r="A24" s="107" t="s">
        <v>156</v>
      </c>
      <c r="B24" s="108">
        <v>5</v>
      </c>
      <c r="C24" s="108">
        <v>5</v>
      </c>
      <c r="D24" s="108">
        <v>5</v>
      </c>
      <c r="E24" s="108">
        <v>5</v>
      </c>
      <c r="F24" s="108">
        <v>5</v>
      </c>
      <c r="G24" s="108">
        <v>5</v>
      </c>
      <c r="H24" s="109"/>
      <c r="I24" s="109"/>
      <c r="J24" s="108">
        <v>5</v>
      </c>
      <c r="K24" s="108">
        <v>5</v>
      </c>
      <c r="L24" s="108">
        <v>5</v>
      </c>
    </row>
    <row r="25" spans="1:12" ht="15" customHeight="1" x14ac:dyDescent="0.15">
      <c r="A25" s="107" t="s">
        <v>157</v>
      </c>
      <c r="B25" s="105">
        <v>4</v>
      </c>
      <c r="C25" s="105">
        <v>4</v>
      </c>
      <c r="D25" s="108">
        <v>4</v>
      </c>
      <c r="E25" s="108">
        <v>4</v>
      </c>
      <c r="F25" s="108">
        <v>4</v>
      </c>
      <c r="G25" s="108">
        <v>4</v>
      </c>
      <c r="H25" s="109"/>
      <c r="I25" s="109"/>
      <c r="J25" s="108">
        <v>4</v>
      </c>
      <c r="K25" s="108">
        <v>4</v>
      </c>
      <c r="L25" s="108">
        <v>4</v>
      </c>
    </row>
    <row r="26" spans="1:12" ht="15" customHeight="1" x14ac:dyDescent="0.15">
      <c r="A26" s="107" t="s">
        <v>158</v>
      </c>
      <c r="B26" s="108">
        <v>3</v>
      </c>
      <c r="C26" s="108">
        <v>3</v>
      </c>
      <c r="D26" s="108">
        <v>3</v>
      </c>
      <c r="E26" s="108">
        <v>3</v>
      </c>
      <c r="F26" s="108">
        <v>3</v>
      </c>
      <c r="G26" s="108">
        <v>3</v>
      </c>
      <c r="H26" s="109"/>
      <c r="I26" s="109"/>
      <c r="J26" s="108">
        <v>3</v>
      </c>
      <c r="K26" s="108">
        <v>3</v>
      </c>
      <c r="L26" s="108">
        <v>3</v>
      </c>
    </row>
    <row r="27" spans="1:12" ht="15" customHeight="1" x14ac:dyDescent="0.15">
      <c r="A27" s="107" t="s">
        <v>159</v>
      </c>
      <c r="B27" s="105">
        <v>2</v>
      </c>
      <c r="C27" s="108">
        <v>2</v>
      </c>
      <c r="D27" s="108">
        <v>2</v>
      </c>
      <c r="E27" s="108">
        <v>2</v>
      </c>
      <c r="F27" s="108">
        <v>2</v>
      </c>
      <c r="G27" s="108">
        <v>2</v>
      </c>
      <c r="H27" s="109"/>
      <c r="I27" s="109"/>
      <c r="J27" s="108">
        <v>2</v>
      </c>
      <c r="K27" s="108">
        <v>2</v>
      </c>
      <c r="L27" s="108">
        <v>2</v>
      </c>
    </row>
    <row r="28" spans="1:12" ht="15" customHeight="1" x14ac:dyDescent="0.15">
      <c r="A28" s="107" t="s">
        <v>160</v>
      </c>
      <c r="B28" s="108">
        <v>1</v>
      </c>
      <c r="C28" s="108">
        <v>1</v>
      </c>
      <c r="D28" s="105">
        <v>1</v>
      </c>
      <c r="E28" s="105">
        <v>1</v>
      </c>
      <c r="F28" s="105">
        <v>1</v>
      </c>
      <c r="G28" s="105">
        <v>1</v>
      </c>
      <c r="H28" s="109"/>
      <c r="I28" s="109"/>
      <c r="J28" s="108">
        <v>1</v>
      </c>
      <c r="K28" s="108">
        <v>1</v>
      </c>
      <c r="L28" s="108">
        <v>1</v>
      </c>
    </row>
    <row r="29" spans="1:12" ht="15" customHeight="1" x14ac:dyDescent="0.15">
      <c r="A29" s="105" t="s">
        <v>161</v>
      </c>
      <c r="B29" s="108">
        <v>0.5</v>
      </c>
      <c r="C29" s="108">
        <v>0.5</v>
      </c>
      <c r="D29" s="108">
        <v>0.5</v>
      </c>
      <c r="E29" s="108">
        <v>0.5</v>
      </c>
      <c r="F29" s="108">
        <v>0.5</v>
      </c>
      <c r="G29" s="108">
        <v>0.5</v>
      </c>
      <c r="H29" s="109"/>
      <c r="I29" s="109"/>
      <c r="J29" s="108">
        <v>0.5</v>
      </c>
      <c r="K29" s="108">
        <v>0.5</v>
      </c>
      <c r="L29" s="108">
        <v>0.5</v>
      </c>
    </row>
    <row r="30" spans="1:12" ht="15" customHeight="1" x14ac:dyDescent="0.15">
      <c r="A30" s="105">
        <v>0</v>
      </c>
      <c r="B30" s="105">
        <v>0</v>
      </c>
      <c r="C30" s="105">
        <v>0</v>
      </c>
      <c r="D30" s="112"/>
      <c r="E30" s="112"/>
      <c r="F30" s="109"/>
      <c r="G30" s="109"/>
      <c r="H30" s="105">
        <v>0</v>
      </c>
      <c r="I30" s="105">
        <v>0</v>
      </c>
      <c r="J30" s="105">
        <v>0</v>
      </c>
      <c r="K30" s="105">
        <v>0</v>
      </c>
      <c r="L30" s="108">
        <v>0</v>
      </c>
    </row>
    <row r="31" spans="1:12" ht="15" customHeight="1" x14ac:dyDescent="0.15">
      <c r="A31" s="105" t="s">
        <v>163</v>
      </c>
      <c r="B31" s="109"/>
      <c r="C31" s="109"/>
      <c r="D31" s="109"/>
      <c r="E31" s="109"/>
      <c r="F31" s="109"/>
      <c r="G31" s="109"/>
      <c r="H31" s="109"/>
      <c r="I31" s="109"/>
      <c r="J31" s="105">
        <f>J7</f>
        <v>4</v>
      </c>
      <c r="K31" s="105">
        <f>K7</f>
        <v>5</v>
      </c>
      <c r="L31" s="109"/>
    </row>
  </sheetData>
  <sheetProtection algorithmName="SHA-512" hashValue="ENBcdyKAYsodyrjrYYre+3KoGD5ijbXB8XMac9Q8tykTtiJ3yZzRR2wHQ/LFkq2DIMK3S/FEWUnhzYuA/DWFOA==" saltValue="VgzKzE8gtl7OMd1iz+mx0g==" spinCount="100000" sheet="1" objects="1" scenarios="1"/>
  <mergeCells count="1">
    <mergeCell ref="E1:H2"/>
  </mergeCells>
  <dataValidations count="2">
    <dataValidation type="textLength" operator="equal" allowBlank="1" showInputMessage="1" showErrorMessage="1" prompt="Reinigung erfolgt 1 Mal monatlich." sqref="A22" xr:uid="{00000000-0002-0000-1700-000000000000}">
      <formula1>2</formula1>
    </dataValidation>
    <dataValidation type="textLength" operator="equal" allowBlank="1" showInputMessage="1" showErrorMessage="1" prompt="Reinigung erfolgt 2 Mal monatlich." sqref="A21" xr:uid="{00000000-0002-0000-1700-000001000000}">
      <formula1>2</formula1>
    </dataValidation>
  </dataValidations>
  <hyperlinks>
    <hyperlink ref="I1" location="Inhaltsverzeichnis!A1" display="Zurück zum Inhaltsverzeichnis" xr:uid="{00000000-0004-0000-1700-000000000000}"/>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&amp;N&amp;RReinigungstage</oddFooter>
  </headerFooter>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ltText="Hinweis">
                <anchor moveWithCells="1">
                  <from>
                    <xdr:col>3</xdr:col>
                    <xdr:colOff>85725</xdr:colOff>
                    <xdr:row>0</xdr:row>
                    <xdr:rowOff>247650</xdr:rowOff>
                  </from>
                  <to>
                    <xdr:col>3</xdr:col>
                    <xdr:colOff>809625</xdr:colOff>
                    <xdr:row>1</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58"/>
  </sheetPr>
  <dimension ref="A1:J8"/>
  <sheetViews>
    <sheetView showGridLines="0" zoomScaleNormal="100" workbookViewId="0"/>
  </sheetViews>
  <sheetFormatPr baseColWidth="10" defaultColWidth="11.42578125" defaultRowHeight="15" customHeight="1" x14ac:dyDescent="0.2"/>
  <cols>
    <col min="1" max="1" width="18.7109375" style="16" customWidth="1"/>
    <col min="2" max="2" width="15.7109375" style="16" customWidth="1"/>
    <col min="3" max="6" width="14.28515625" style="16" customWidth="1"/>
    <col min="7" max="10" width="16.7109375" style="16" customWidth="1"/>
    <col min="11" max="16384" width="11.42578125" style="16"/>
  </cols>
  <sheetData>
    <row r="1" spans="1:10" ht="29.1" customHeight="1" x14ac:dyDescent="0.2">
      <c r="A1" s="16" t="s">
        <v>204</v>
      </c>
      <c r="D1" s="29"/>
      <c r="E1" s="29"/>
      <c r="F1" s="1" t="s">
        <v>100</v>
      </c>
      <c r="G1" s="30"/>
    </row>
    <row r="2" spans="1:10" ht="24" customHeight="1" x14ac:dyDescent="0.2">
      <c r="B2" s="8" t="b">
        <v>0</v>
      </c>
      <c r="C2" s="129" t="str">
        <f>IF(B2=TRUE,"Hier muss nichts ausgefüllt werden. Füllen Sie zunächst in den folgenden Tabellen die gelben Zellen aus. Kehren Sie dann zu dieser Tabelle zurück.","")</f>
        <v/>
      </c>
      <c r="D2" s="129"/>
      <c r="E2" s="129"/>
      <c r="F2" s="129"/>
      <c r="G2" s="129"/>
    </row>
    <row r="3" spans="1:10" ht="24" customHeight="1" x14ac:dyDescent="0.2">
      <c r="A3" s="31" t="s">
        <v>103</v>
      </c>
      <c r="B3" s="32" t="str">
        <f>IF(Inhaltsverzeichnis!$C$3="", "",Inhaltsverzeichnis!$C$3)</f>
        <v/>
      </c>
      <c r="C3" s="15"/>
      <c r="D3" s="15"/>
      <c r="E3" s="15"/>
    </row>
    <row r="4" spans="1:10" s="17" customFormat="1" ht="29.1" customHeight="1" x14ac:dyDescent="0.2">
      <c r="A4" s="131" t="s">
        <v>387</v>
      </c>
      <c r="B4" s="132"/>
      <c r="C4" s="33" t="s">
        <v>379</v>
      </c>
      <c r="D4" s="33" t="s">
        <v>381</v>
      </c>
      <c r="E4" s="33" t="s">
        <v>382</v>
      </c>
      <c r="F4" s="33" t="s">
        <v>383</v>
      </c>
      <c r="G4" s="33" t="s">
        <v>420</v>
      </c>
      <c r="H4" s="131" t="s">
        <v>390</v>
      </c>
      <c r="I4" s="134"/>
      <c r="J4" s="135"/>
    </row>
    <row r="5" spans="1:10" s="17" customFormat="1" ht="29.1" customHeight="1" x14ac:dyDescent="0.2">
      <c r="A5" s="34" t="s">
        <v>96</v>
      </c>
      <c r="B5" s="35"/>
      <c r="C5" s="33" t="s">
        <v>170</v>
      </c>
      <c r="D5" s="33" t="s">
        <v>170</v>
      </c>
      <c r="E5" s="33" t="s">
        <v>170</v>
      </c>
      <c r="F5" s="33" t="s">
        <v>170</v>
      </c>
      <c r="G5" s="33" t="s">
        <v>170</v>
      </c>
      <c r="H5" s="33" t="s">
        <v>170</v>
      </c>
      <c r="I5" s="33" t="s">
        <v>389</v>
      </c>
      <c r="J5" s="33" t="s">
        <v>171</v>
      </c>
    </row>
    <row r="6" spans="1:10" ht="15" customHeight="1" x14ac:dyDescent="0.2">
      <c r="A6" s="36" t="s">
        <v>214</v>
      </c>
      <c r="B6" s="37"/>
      <c r="C6" s="38">
        <f ca="1">'Kal Unter GS Zeesen'!Q21</f>
        <v>0</v>
      </c>
      <c r="D6" s="38">
        <f>'Kal Grund GS Zeesen'!Q21</f>
        <v>0</v>
      </c>
      <c r="E6" s="38">
        <f>SUMIF('Kal Glas Gesamt'!$B$5:$B6,$A$6,'Kal Glas Gesamt'!$L$5:$L6)</f>
        <v>0</v>
      </c>
      <c r="F6" s="38">
        <f ca="1">'Kal Unter Fer GS Zeesen'!Q21</f>
        <v>0</v>
      </c>
      <c r="G6" s="38">
        <f ca="1">'Kal TeilRG Gesamt'!Q21</f>
        <v>0</v>
      </c>
      <c r="H6" s="38">
        <f ca="1">SUM(C6:G6)</f>
        <v>0</v>
      </c>
      <c r="I6" s="38">
        <f ca="1">J6-H6</f>
        <v>0</v>
      </c>
      <c r="J6" s="38">
        <f ca="1">ROUND(H6*1.19,2)</f>
        <v>0</v>
      </c>
    </row>
    <row r="7" spans="1:10" ht="15" customHeight="1" x14ac:dyDescent="0.2">
      <c r="A7" s="123" t="s">
        <v>220</v>
      </c>
      <c r="B7" s="124"/>
      <c r="C7" s="125">
        <f ca="1">'Kal Unter Hort mit TH'!Q21</f>
        <v>0</v>
      </c>
      <c r="D7" s="125">
        <f>'Kal Grund Hort mit TH'!Q21</f>
        <v>0</v>
      </c>
      <c r="E7" s="125">
        <f>SUMIF('Kal Glas Gesamt'!$B$5:$B6,$A$7,'Kal Glas Gesamt'!$L$5:$L6)</f>
        <v>0</v>
      </c>
      <c r="F7" s="125">
        <f ca="1">'Kal Unter Fer Hort mit TH'!Q21</f>
        <v>0</v>
      </c>
      <c r="G7" s="126"/>
      <c r="H7" s="125">
        <f ca="1">SUM(C7:G7)</f>
        <v>0</v>
      </c>
      <c r="I7" s="125">
        <f ca="1">J7-H7</f>
        <v>0</v>
      </c>
      <c r="J7" s="125">
        <f ca="1">ROUND(H7*1.19,2)</f>
        <v>0</v>
      </c>
    </row>
    <row r="8" spans="1:10" ht="15" customHeight="1" x14ac:dyDescent="0.2">
      <c r="A8" s="133" t="s">
        <v>391</v>
      </c>
      <c r="B8" s="133"/>
      <c r="C8" s="133"/>
      <c r="D8" s="133"/>
      <c r="E8" s="133"/>
      <c r="F8" s="133"/>
      <c r="G8" s="133"/>
      <c r="H8" s="40">
        <f ca="1">ROUND(SUM(H6:H7),2)</f>
        <v>0</v>
      </c>
      <c r="I8" s="40">
        <f ca="1">ROUND(SUM(I6:I7),2)</f>
        <v>0</v>
      </c>
      <c r="J8" s="40">
        <f ca="1">ROUND(SUM(J6:J7),2)</f>
        <v>0</v>
      </c>
    </row>
  </sheetData>
  <sheetProtection algorithmName="SHA-512" hashValue="sqHoXz4/zHNuCcZz7rp8txjRDf3/9WHNPRsjucL+1l5ge0kR4SJZa35cAsE9sFMSt+gw8xry1PjQbdl/qS2L7w==" saltValue="buGtYtOO8WMe0xLRvCl46g==" spinCount="100000" sheet="1" objects="1" scenarios="1"/>
  <mergeCells count="4">
    <mergeCell ref="A4:B4"/>
    <mergeCell ref="C2:G2"/>
    <mergeCell ref="A8:G8"/>
    <mergeCell ref="H4:J4"/>
  </mergeCells>
  <phoneticPr fontId="3" type="noConversion"/>
  <hyperlinks>
    <hyperlink ref="F1" location="'Inhaltsverzeichnis'!$A$1" display="Zurück zum Inhaltsverzeichnis" xr:uid="{E47FC31D-B962-4447-8C20-0BB1A0A5061E}"/>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&amp;N&amp;RPreisübersicht</oddFooter>
  </headerFooter>
  <rowBreaks count="1" manualBreakCount="1">
    <brk id="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ltText="Hinweis">
                <anchor moveWithCells="1">
                  <from>
                    <xdr:col>1</xdr:col>
                    <xdr:colOff>180975</xdr:colOff>
                    <xdr:row>1</xdr:row>
                    <xdr:rowOff>28575</xdr:rowOff>
                  </from>
                  <to>
                    <xdr:col>1</xdr:col>
                    <xdr:colOff>933450</xdr:colOff>
                    <xdr:row>1</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indexed="58"/>
  </sheetPr>
  <dimension ref="A1:H6"/>
  <sheetViews>
    <sheetView showGridLines="0" zoomScaleNormal="100" workbookViewId="0"/>
  </sheetViews>
  <sheetFormatPr baseColWidth="10" defaultColWidth="11.42578125" defaultRowHeight="15" customHeight="1" x14ac:dyDescent="0.2"/>
  <cols>
    <col min="1" max="1" width="21" style="16" customWidth="1"/>
    <col min="2" max="2" width="16.7109375" style="16" customWidth="1"/>
    <col min="3" max="5" width="14.28515625" style="16" customWidth="1"/>
    <col min="6" max="8" width="16.7109375" style="16" customWidth="1"/>
    <col min="9" max="16384" width="11.42578125" style="16"/>
  </cols>
  <sheetData>
    <row r="1" spans="1:8" ht="29.1" customHeight="1" x14ac:dyDescent="0.2">
      <c r="A1" s="16" t="s">
        <v>203</v>
      </c>
      <c r="F1" s="29"/>
      <c r="G1" s="29"/>
      <c r="H1" s="1" t="s">
        <v>100</v>
      </c>
    </row>
    <row r="2" spans="1:8" ht="23.45" customHeight="1" x14ac:dyDescent="0.2">
      <c r="B2" s="8" t="b">
        <v>0</v>
      </c>
      <c r="C2" s="129" t="str">
        <f>IF(B2=TRUE,"Hier muss nichts ausgefüllt werden. Füllen Sie zunächst in den folgenden Tabellen die gelben Zellen aus. Kehren Sie dann zu dieser Tabelle zurück.","")</f>
        <v/>
      </c>
      <c r="D2" s="129"/>
      <c r="E2" s="129"/>
      <c r="F2" s="129"/>
      <c r="G2" s="129"/>
      <c r="H2" s="29"/>
    </row>
    <row r="3" spans="1:8" ht="23.45" customHeight="1" x14ac:dyDescent="0.2">
      <c r="A3" s="31" t="s">
        <v>103</v>
      </c>
      <c r="B3" s="32" t="str">
        <f>IF(Inhaltsverzeichnis!$C$3="", "",Inhaltsverzeichnis!$C$3)</f>
        <v/>
      </c>
    </row>
    <row r="4" spans="1:8" s="17" customFormat="1" ht="29.1" customHeight="1" x14ac:dyDescent="0.2">
      <c r="A4" s="136" t="s">
        <v>388</v>
      </c>
      <c r="B4" s="136"/>
      <c r="C4" s="136" t="s">
        <v>384</v>
      </c>
      <c r="D4" s="136"/>
      <c r="E4" s="136"/>
      <c r="F4" s="136" t="s">
        <v>385</v>
      </c>
      <c r="G4" s="136"/>
      <c r="H4" s="136"/>
    </row>
    <row r="5" spans="1:8" s="17" customFormat="1" ht="29.1" customHeight="1" x14ac:dyDescent="0.2">
      <c r="A5" s="34" t="s">
        <v>96</v>
      </c>
      <c r="B5" s="35"/>
      <c r="C5" s="39" t="s">
        <v>170</v>
      </c>
      <c r="D5" s="39" t="s">
        <v>389</v>
      </c>
      <c r="E5" s="39" t="s">
        <v>171</v>
      </c>
      <c r="F5" s="39" t="s">
        <v>170</v>
      </c>
      <c r="G5" s="39" t="s">
        <v>389</v>
      </c>
      <c r="H5" s="39" t="s">
        <v>171</v>
      </c>
    </row>
    <row r="6" spans="1:8" ht="15" customHeight="1" x14ac:dyDescent="0.2">
      <c r="A6" s="36" t="s">
        <v>214</v>
      </c>
      <c r="B6" s="37"/>
      <c r="C6" s="40">
        <f ca="1">'Kal Unter Bed GS Zeesen'!Q21</f>
        <v>0</v>
      </c>
      <c r="D6" s="40">
        <f ca="1">E6-C6</f>
        <v>0</v>
      </c>
      <c r="E6" s="40">
        <f ca="1">ROUND($C$6*1.19,2)</f>
        <v>0</v>
      </c>
      <c r="F6" s="40">
        <f ca="1">'Kal Sonder Bed GS Zeesen'!$Q$21</f>
        <v>0</v>
      </c>
      <c r="G6" s="40">
        <f ca="1">H6-F6</f>
        <v>0</v>
      </c>
      <c r="H6" s="40">
        <f ca="1">ROUND(F6*1.19,2)</f>
        <v>0</v>
      </c>
    </row>
  </sheetData>
  <sheetProtection algorithmName="SHA-512" hashValue="PRR7LIi5nCjiGkLcLz14pxzokovBcPED1f2AeslC35Y904odjAoC5UeoThTvaKpKY4bpxMg8hjWZm7ib5O0ffg==" saltValue="s+Ek+U+YU9hFTM6PnnmsMw==" spinCount="100000" sheet="1" objects="1" scenarios="1"/>
  <mergeCells count="4">
    <mergeCell ref="A4:B4"/>
    <mergeCell ref="C4:E4"/>
    <mergeCell ref="F4:H4"/>
    <mergeCell ref="C2:G2"/>
  </mergeCells>
  <phoneticPr fontId="3" type="noConversion"/>
  <hyperlinks>
    <hyperlink ref="H1" location="'Inhaltsverzeichnis'!$A$1" display="Zurück zum Inhaltsverzeichnis" xr:uid="{B63BC8B1-1165-4B64-BA52-2E95FFF303C1}"/>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&amp;N&amp;RPreisübersicht (nach Bedarf)</oddFooter>
  </headerFooter>
  <rowBreaks count="1" manualBreakCount="1">
    <brk id="6" max="16383" man="1"/>
  </rowBreaks>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Hinweis">
                <anchor moveWithCells="1">
                  <from>
                    <xdr:col>1</xdr:col>
                    <xdr:colOff>180975</xdr:colOff>
                    <xdr:row>1</xdr:row>
                    <xdr:rowOff>19050</xdr:rowOff>
                  </from>
                  <to>
                    <xdr:col>1</xdr:col>
                    <xdr:colOff>971550</xdr:colOff>
                    <xdr:row>1</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8">
    <tabColor indexed="13"/>
  </sheetPr>
  <dimension ref="A1:P79"/>
  <sheetViews>
    <sheetView showGridLines="0" zoomScaleNormal="100" zoomScaleSheetLayoutView="70" workbookViewId="0"/>
  </sheetViews>
  <sheetFormatPr baseColWidth="10" defaultColWidth="11.42578125" defaultRowHeight="10.5" x14ac:dyDescent="0.2"/>
  <cols>
    <col min="1" max="1" width="6.42578125" style="16" customWidth="1"/>
    <col min="2" max="2" width="2.7109375" style="16" customWidth="1"/>
    <col min="3" max="3" width="45.5703125" style="16" customWidth="1"/>
    <col min="4" max="4" width="8.5703125" style="16" customWidth="1"/>
    <col min="5" max="5" width="2.5703125" style="16" customWidth="1"/>
    <col min="6" max="6" width="11.42578125" style="16"/>
    <col min="7" max="7" width="2.85546875" style="16" customWidth="1"/>
    <col min="8" max="8" width="11.42578125" style="16"/>
    <col min="9" max="9" width="2.7109375" style="16" bestFit="1" customWidth="1"/>
    <col min="10" max="10" width="1.28515625" style="16" customWidth="1"/>
    <col min="11" max="11" width="41.28515625" style="16" customWidth="1"/>
    <col min="12" max="12" width="62.28515625" style="16" customWidth="1"/>
    <col min="13" max="16" width="12.42578125" style="16" customWidth="1"/>
    <col min="17" max="16384" width="11.42578125" style="16"/>
  </cols>
  <sheetData>
    <row r="1" spans="1:16" ht="34.9" customHeight="1" x14ac:dyDescent="0.2">
      <c r="A1" s="41" t="str">
        <f ca="1">IF(H61&lt;&gt;"","","Bitte alle gelben Zellen ausfüllen.")</f>
        <v>Bitte alle gelben Zellen ausfüllen.</v>
      </c>
      <c r="D1" s="62" t="b">
        <v>0</v>
      </c>
      <c r="E1" s="129"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129"/>
      <c r="G1" s="129"/>
      <c r="H1" s="129"/>
      <c r="I1" s="129"/>
      <c r="K1" s="1" t="s">
        <v>100</v>
      </c>
    </row>
    <row r="2" spans="1:16" ht="33" customHeight="1" x14ac:dyDescent="0.2">
      <c r="A2" s="16" t="s">
        <v>103</v>
      </c>
      <c r="C2" s="16" t="str">
        <f>IF(Inhaltsverzeichnis!$C$3="", "",Inhaltsverzeichnis!$C$3)</f>
        <v/>
      </c>
      <c r="D2" s="8" t="b">
        <v>0</v>
      </c>
      <c r="E2" s="129"/>
      <c r="F2" s="129"/>
      <c r="G2" s="129"/>
      <c r="H2" s="129"/>
      <c r="I2" s="129"/>
    </row>
    <row r="3" spans="1:16" s="42" customFormat="1" ht="12.75" x14ac:dyDescent="0.2">
      <c r="A3" s="147" t="s">
        <v>102</v>
      </c>
      <c r="B3" s="147"/>
      <c r="C3" s="147"/>
      <c r="D3" s="147"/>
      <c r="E3" s="147"/>
      <c r="F3" s="147"/>
      <c r="G3" s="147"/>
      <c r="H3" s="147"/>
      <c r="I3" s="147"/>
      <c r="L3" s="66" t="s">
        <v>137</v>
      </c>
      <c r="M3" s="9">
        <v>30</v>
      </c>
      <c r="N3" s="9">
        <v>80</v>
      </c>
      <c r="O3" s="9">
        <v>200</v>
      </c>
      <c r="P3" s="9">
        <v>200</v>
      </c>
    </row>
    <row r="4" spans="1:16" x14ac:dyDescent="0.2">
      <c r="A4" s="43"/>
      <c r="B4" s="43"/>
      <c r="C4" s="43"/>
      <c r="D4" s="43"/>
      <c r="E4" s="43"/>
      <c r="F4" s="43"/>
      <c r="G4" s="43"/>
      <c r="H4" s="43"/>
      <c r="I4" s="43"/>
      <c r="L4" s="67" t="s">
        <v>138</v>
      </c>
      <c r="M4" s="10">
        <v>25</v>
      </c>
      <c r="N4" s="11">
        <v>50</v>
      </c>
      <c r="O4" s="11">
        <v>150</v>
      </c>
      <c r="P4" s="11">
        <v>125</v>
      </c>
    </row>
    <row r="5" spans="1:16" ht="35.1" customHeight="1" x14ac:dyDescent="0.2">
      <c r="A5" s="44" t="s">
        <v>1</v>
      </c>
      <c r="B5" s="44" t="s">
        <v>2</v>
      </c>
      <c r="C5" s="44"/>
      <c r="D5" s="44"/>
      <c r="E5" s="44"/>
      <c r="F5" s="45">
        <v>100</v>
      </c>
      <c r="G5" s="44" t="s">
        <v>3</v>
      </c>
      <c r="H5" s="2">
        <v>15</v>
      </c>
      <c r="I5" s="44" t="s">
        <v>4</v>
      </c>
      <c r="K5" s="68" t="str">
        <f ca="1">IF(H5="","Bitte ausfüllen!",IF(H61="","Der voreingetragene produktive Stundenlohn ist eine Mindestanforderung. Inhalt der gelben Zellen kann angepasst werden.",""))</f>
        <v>Der voreingetragene produktive Stundenlohn ist eine Mindestanforderung. Inhalt der gelben Zellen kann angepasst werden.</v>
      </c>
      <c r="L5" s="66"/>
      <c r="M5" s="69" t="s">
        <v>139</v>
      </c>
      <c r="N5" s="69" t="s">
        <v>210</v>
      </c>
      <c r="O5" s="69" t="s">
        <v>152</v>
      </c>
      <c r="P5" s="69" t="s">
        <v>211</v>
      </c>
    </row>
    <row r="6" spans="1:16" x14ac:dyDescent="0.2">
      <c r="A6" s="43"/>
      <c r="B6" s="43"/>
      <c r="C6" s="43"/>
      <c r="D6" s="43"/>
      <c r="E6" s="43"/>
      <c r="F6" s="47"/>
      <c r="G6" s="43"/>
      <c r="H6" s="47"/>
      <c r="I6" s="43"/>
      <c r="L6" s="66"/>
      <c r="M6" s="70" t="s">
        <v>4</v>
      </c>
      <c r="N6" s="70" t="s">
        <v>4</v>
      </c>
      <c r="O6" s="70" t="s">
        <v>4</v>
      </c>
      <c r="P6" s="70" t="s">
        <v>4</v>
      </c>
    </row>
    <row r="7" spans="1:16" x14ac:dyDescent="0.2">
      <c r="A7" s="44" t="s">
        <v>5</v>
      </c>
      <c r="B7" s="44" t="s">
        <v>6</v>
      </c>
      <c r="C7" s="44"/>
      <c r="D7" s="44"/>
      <c r="E7" s="44"/>
      <c r="F7" s="48"/>
      <c r="G7" s="44"/>
      <c r="H7" s="48"/>
      <c r="I7" s="44"/>
      <c r="L7" s="67" t="s">
        <v>140</v>
      </c>
      <c r="M7" s="71" t="str">
        <f ca="1">IF($H$61="","",ROUND(M3/100*$H$5,2))</f>
        <v/>
      </c>
      <c r="N7" s="71" t="str">
        <f ca="1">IF($H$61="","",ROUND(N3/100*$H$5,2))</f>
        <v/>
      </c>
      <c r="O7" s="71" t="str">
        <f ca="1">IF($H$61="","",ROUND(O3/100*$H$5,2))</f>
        <v/>
      </c>
      <c r="P7" s="71" t="str">
        <f ca="1">IF($H$61="","",ROUND(P3/100*$H$5,2))</f>
        <v/>
      </c>
    </row>
    <row r="8" spans="1:16" ht="14.25" x14ac:dyDescent="0.2">
      <c r="A8" s="43" t="s">
        <v>7</v>
      </c>
      <c r="B8" s="43" t="s">
        <v>8</v>
      </c>
      <c r="C8" s="43"/>
      <c r="D8" s="43"/>
      <c r="E8" s="43"/>
      <c r="F8" s="48"/>
      <c r="G8" s="48"/>
      <c r="H8" s="48"/>
      <c r="I8" s="48"/>
      <c r="K8" s="49"/>
      <c r="L8" s="66"/>
      <c r="M8" s="67"/>
      <c r="N8" s="67"/>
      <c r="O8" s="67"/>
      <c r="P8" s="67"/>
    </row>
    <row r="9" spans="1:16" x14ac:dyDescent="0.2">
      <c r="A9" s="43" t="s">
        <v>9</v>
      </c>
      <c r="B9" s="43"/>
      <c r="C9" s="43" t="s">
        <v>10</v>
      </c>
      <c r="D9" s="43"/>
      <c r="E9" s="43"/>
      <c r="F9" s="3"/>
      <c r="G9" s="43" t="s">
        <v>3</v>
      </c>
      <c r="H9" s="50" t="str">
        <f>IF(F9="","",ROUND(F9/100*$H$5,2))</f>
        <v/>
      </c>
      <c r="I9" s="43" t="s">
        <v>4</v>
      </c>
      <c r="K9" s="46" t="str">
        <f>IF(F9="","Bitte ausfüllen!","")</f>
        <v>Bitte ausfüllen!</v>
      </c>
      <c r="L9" s="67" t="s">
        <v>141</v>
      </c>
      <c r="M9" s="71">
        <f>$H$5*(M4/100)</f>
        <v>3.75</v>
      </c>
      <c r="N9" s="71">
        <f>$H$5*(N4/100)</f>
        <v>7.5</v>
      </c>
      <c r="O9" s="71">
        <f>$H$5*(O4/100)</f>
        <v>22.5</v>
      </c>
      <c r="P9" s="71">
        <f>$H$5*(P4/100)</f>
        <v>18.75</v>
      </c>
    </row>
    <row r="10" spans="1:16" x14ac:dyDescent="0.2">
      <c r="A10" s="43" t="s">
        <v>11</v>
      </c>
      <c r="B10" s="43"/>
      <c r="C10" s="43" t="s">
        <v>12</v>
      </c>
      <c r="D10" s="43"/>
      <c r="E10" s="43"/>
      <c r="F10" s="3"/>
      <c r="G10" s="43" t="s">
        <v>3</v>
      </c>
      <c r="H10" s="50" t="str">
        <f>IF(F10="","",ROUND(F10/100*$H$5,2))</f>
        <v/>
      </c>
      <c r="I10" s="43" t="s">
        <v>4</v>
      </c>
      <c r="K10" s="46" t="str">
        <f>IF(F10="","Bitte ausfüllen!","")</f>
        <v>Bitte ausfüllen!</v>
      </c>
      <c r="L10" s="67" t="s">
        <v>142</v>
      </c>
      <c r="M10" s="72" t="str">
        <f ca="1">IF(M7="","",M7-M9)</f>
        <v/>
      </c>
      <c r="N10" s="72" t="str">
        <f ca="1">IF(N7="","",N7-N9)</f>
        <v/>
      </c>
      <c r="O10" s="72" t="str">
        <f ca="1">IF(O7="","",O7-O9)</f>
        <v/>
      </c>
      <c r="P10" s="72" t="str">
        <f ca="1">IF(P7="","",P7-P9)</f>
        <v/>
      </c>
    </row>
    <row r="11" spans="1:16" x14ac:dyDescent="0.2">
      <c r="A11" s="43" t="s">
        <v>13</v>
      </c>
      <c r="B11" s="43"/>
      <c r="C11" s="43" t="s">
        <v>14</v>
      </c>
      <c r="D11" s="43"/>
      <c r="E11" s="43"/>
      <c r="F11" s="3"/>
      <c r="G11" s="43" t="s">
        <v>3</v>
      </c>
      <c r="H11" s="50" t="str">
        <f>IF(F11="","",ROUND(F11/100*$H$5,2))</f>
        <v/>
      </c>
      <c r="I11" s="43" t="s">
        <v>4</v>
      </c>
      <c r="K11" s="46" t="str">
        <f>IF(F11="","Bitte ausfüllen!","")</f>
        <v>Bitte ausfüllen!</v>
      </c>
      <c r="L11" s="67"/>
      <c r="M11" s="67"/>
      <c r="N11" s="67"/>
      <c r="O11" s="67"/>
      <c r="P11" s="67"/>
    </row>
    <row r="12" spans="1:16" x14ac:dyDescent="0.2">
      <c r="A12" s="43" t="s">
        <v>15</v>
      </c>
      <c r="B12" s="43"/>
      <c r="C12" s="43" t="s">
        <v>16</v>
      </c>
      <c r="D12" s="43"/>
      <c r="E12" s="43"/>
      <c r="F12" s="3"/>
      <c r="G12" s="43" t="s">
        <v>3</v>
      </c>
      <c r="H12" s="50" t="str">
        <f>IF(F12="","",ROUND(F12/100*$H$5,2))</f>
        <v/>
      </c>
      <c r="I12" s="43" t="s">
        <v>4</v>
      </c>
      <c r="K12" s="46" t="str">
        <f>IF(F12="","Bitte ausfüllen!","")</f>
        <v>Bitte ausfüllen!</v>
      </c>
      <c r="L12" s="67" t="s">
        <v>143</v>
      </c>
      <c r="M12" s="71" t="str">
        <f ca="1">IF(M10="","",$D17%*M$10)</f>
        <v/>
      </c>
      <c r="N12" s="71" t="str">
        <f ca="1">IF(N10="","",$D17%*N$10)</f>
        <v/>
      </c>
      <c r="O12" s="71" t="str">
        <f ca="1">IF(O10="","",$D17%*O$10)</f>
        <v/>
      </c>
      <c r="P12" s="71" t="str">
        <f ca="1">IF(P10="","",$D17%*P$10)</f>
        <v/>
      </c>
    </row>
    <row r="13" spans="1:16" x14ac:dyDescent="0.2">
      <c r="A13" s="43" t="s">
        <v>17</v>
      </c>
      <c r="B13" s="43"/>
      <c r="C13" s="43" t="s">
        <v>18</v>
      </c>
      <c r="D13" s="43"/>
      <c r="E13" s="43"/>
      <c r="F13" s="3"/>
      <c r="G13" s="43" t="s">
        <v>3</v>
      </c>
      <c r="H13" s="50" t="str">
        <f>IF(F13="","",ROUND(F13/100*$H$5,2))</f>
        <v/>
      </c>
      <c r="I13" s="43" t="s">
        <v>4</v>
      </c>
      <c r="K13" s="46" t="str">
        <f>IF(F13="","Bitte ausfüllen!","")</f>
        <v>Bitte ausfüllen!</v>
      </c>
      <c r="L13" s="67" t="s">
        <v>23</v>
      </c>
      <c r="M13" s="71" t="str">
        <f ca="1">IF(M12="","",$D18%*M$10)</f>
        <v/>
      </c>
      <c r="N13" s="71" t="str">
        <f ca="1">IF(N12="","",$D18%*N$10)</f>
        <v/>
      </c>
      <c r="O13" s="71" t="str">
        <f ca="1">IF(O12="","",$D18%*O$10)</f>
        <v/>
      </c>
      <c r="P13" s="71" t="str">
        <f ca="1">IF(P12="","",$D18%*P$10)</f>
        <v/>
      </c>
    </row>
    <row r="14" spans="1:16" x14ac:dyDescent="0.2">
      <c r="A14" s="44"/>
      <c r="B14" s="44" t="s">
        <v>19</v>
      </c>
      <c r="C14" s="44"/>
      <c r="D14" s="44"/>
      <c r="E14" s="44"/>
      <c r="F14" s="51">
        <f>IF(SUM(F9:F13)=0,0,SUM(F9:F13))</f>
        <v>0</v>
      </c>
      <c r="G14" s="44" t="s">
        <v>3</v>
      </c>
      <c r="H14" s="52" t="str">
        <f>IF(COUNTIF(F9:F13,"")&gt;0,"",SUM(H8:H13))</f>
        <v/>
      </c>
      <c r="I14" s="44" t="s">
        <v>4</v>
      </c>
      <c r="K14" s="46" t="str">
        <f>IF(H14="","Angaben offen!","")</f>
        <v>Angaben offen!</v>
      </c>
      <c r="L14" s="67" t="s">
        <v>144</v>
      </c>
      <c r="M14" s="71" t="str">
        <f t="shared" ref="M14:P21" ca="1" si="0">IF(M13="","",$D19%*M$10)</f>
        <v/>
      </c>
      <c r="N14" s="71" t="str">
        <f t="shared" ca="1" si="0"/>
        <v/>
      </c>
      <c r="O14" s="71" t="str">
        <f t="shared" ca="1" si="0"/>
        <v/>
      </c>
      <c r="P14" s="71" t="str">
        <f t="shared" ca="1" si="0"/>
        <v/>
      </c>
    </row>
    <row r="15" spans="1:16" x14ac:dyDescent="0.2">
      <c r="A15" s="43"/>
      <c r="B15" s="43"/>
      <c r="C15" s="43"/>
      <c r="D15" s="43"/>
      <c r="E15" s="43"/>
      <c r="F15" s="47"/>
      <c r="G15" s="43"/>
      <c r="H15" s="47"/>
      <c r="I15" s="43"/>
      <c r="L15" s="67" t="s">
        <v>25</v>
      </c>
      <c r="M15" s="71" t="str">
        <f t="shared" ca="1" si="0"/>
        <v/>
      </c>
      <c r="N15" s="71" t="str">
        <f t="shared" ca="1" si="0"/>
        <v/>
      </c>
      <c r="O15" s="71" t="str">
        <f t="shared" ca="1" si="0"/>
        <v/>
      </c>
      <c r="P15" s="71" t="str">
        <f t="shared" ca="1" si="0"/>
        <v/>
      </c>
    </row>
    <row r="16" spans="1:16" x14ac:dyDescent="0.2">
      <c r="A16" s="44" t="s">
        <v>20</v>
      </c>
      <c r="B16" s="44" t="s">
        <v>21</v>
      </c>
      <c r="C16" s="44"/>
      <c r="D16" s="44"/>
      <c r="E16" s="44"/>
      <c r="F16" s="48"/>
      <c r="G16" s="44"/>
      <c r="H16" s="48"/>
      <c r="I16" s="44"/>
      <c r="L16" s="67" t="s">
        <v>145</v>
      </c>
      <c r="M16" s="71" t="str">
        <f t="shared" ca="1" si="0"/>
        <v/>
      </c>
      <c r="N16" s="71" t="str">
        <f t="shared" ca="1" si="0"/>
        <v/>
      </c>
      <c r="O16" s="71" t="str">
        <f t="shared" ca="1" si="0"/>
        <v/>
      </c>
      <c r="P16" s="71" t="str">
        <f t="shared" ca="1" si="0"/>
        <v/>
      </c>
    </row>
    <row r="17" spans="1:16" ht="11.25" customHeight="1" x14ac:dyDescent="0.2">
      <c r="A17" s="43" t="s">
        <v>22</v>
      </c>
      <c r="B17" s="43" t="s">
        <v>122</v>
      </c>
      <c r="C17" s="43"/>
      <c r="D17" s="3">
        <f>D73+D77</f>
        <v>8.75</v>
      </c>
      <c r="E17" s="43" t="s">
        <v>3</v>
      </c>
      <c r="F17" s="47"/>
      <c r="G17" s="43"/>
      <c r="H17" s="47"/>
      <c r="I17" s="43"/>
      <c r="K17" s="46" t="str">
        <f ca="1">IF(D17&lt;(D73+D77),"Wert prüfen!",IF(H61="","Inhalt der gelben Zellen kann angepasst werden.",""))</f>
        <v>Inhalt der gelben Zellen kann angepasst werden.</v>
      </c>
      <c r="L17" s="67" t="s">
        <v>27</v>
      </c>
      <c r="M17" s="71" t="str">
        <f t="shared" ca="1" si="0"/>
        <v/>
      </c>
      <c r="N17" s="71" t="str">
        <f t="shared" ca="1" si="0"/>
        <v/>
      </c>
      <c r="O17" s="71" t="str">
        <f t="shared" ca="1" si="0"/>
        <v/>
      </c>
      <c r="P17" s="71" t="str">
        <f t="shared" ca="1" si="0"/>
        <v/>
      </c>
    </row>
    <row r="18" spans="1:16" x14ac:dyDescent="0.2">
      <c r="A18" s="43"/>
      <c r="B18" s="43" t="s">
        <v>23</v>
      </c>
      <c r="C18" s="43"/>
      <c r="D18" s="53">
        <f>(D17/100)*$F$14</f>
        <v>0</v>
      </c>
      <c r="E18" s="43" t="s">
        <v>3</v>
      </c>
      <c r="F18" s="54">
        <f>IF(D18="","",D17+D18)</f>
        <v>8.75</v>
      </c>
      <c r="G18" s="43" t="s">
        <v>3</v>
      </c>
      <c r="H18" s="50">
        <f>IF(D18="","",ROUND(F18/100*$H$5,2))</f>
        <v>1.31</v>
      </c>
      <c r="I18" s="43" t="s">
        <v>4</v>
      </c>
      <c r="K18" s="46"/>
      <c r="L18" s="67" t="s">
        <v>146</v>
      </c>
      <c r="M18" s="71" t="str">
        <f t="shared" ca="1" si="0"/>
        <v/>
      </c>
      <c r="N18" s="71" t="str">
        <f t="shared" ca="1" si="0"/>
        <v/>
      </c>
      <c r="O18" s="71" t="str">
        <f t="shared" ca="1" si="0"/>
        <v/>
      </c>
      <c r="P18" s="71" t="str">
        <f t="shared" ca="1" si="0"/>
        <v/>
      </c>
    </row>
    <row r="19" spans="1:16" ht="11.25" x14ac:dyDescent="0.2">
      <c r="A19" s="43" t="s">
        <v>24</v>
      </c>
      <c r="B19" s="43" t="s">
        <v>123</v>
      </c>
      <c r="C19" s="43"/>
      <c r="D19" s="3">
        <f>D74</f>
        <v>9.3000000000000007</v>
      </c>
      <c r="E19" s="43" t="s">
        <v>3</v>
      </c>
      <c r="F19" s="55"/>
      <c r="G19" s="43"/>
      <c r="H19" s="47"/>
      <c r="I19" s="43"/>
      <c r="K19" s="46" t="str">
        <f ca="1">IF(D19&lt;&gt;D74,"Wert prüfen!",IF(H61="","Inhalt der gelben Zellen kann angepasst werden.",""))</f>
        <v>Inhalt der gelben Zellen kann angepasst werden.</v>
      </c>
      <c r="L19" s="67" t="s">
        <v>29</v>
      </c>
      <c r="M19" s="71" t="str">
        <f t="shared" ca="1" si="0"/>
        <v/>
      </c>
      <c r="N19" s="71" t="str">
        <f t="shared" ca="1" si="0"/>
        <v/>
      </c>
      <c r="O19" s="71" t="str">
        <f t="shared" ca="1" si="0"/>
        <v/>
      </c>
      <c r="P19" s="71" t="str">
        <f t="shared" ca="1" si="0"/>
        <v/>
      </c>
    </row>
    <row r="20" spans="1:16" ht="11.25" customHeight="1" x14ac:dyDescent="0.2">
      <c r="A20" s="43"/>
      <c r="B20" s="43" t="s">
        <v>25</v>
      </c>
      <c r="C20" s="43"/>
      <c r="D20" s="53">
        <f>(D19/100)*$F$14</f>
        <v>0</v>
      </c>
      <c r="E20" s="43" t="s">
        <v>3</v>
      </c>
      <c r="F20" s="54">
        <f>IF(D20="","",D19+D20)</f>
        <v>9.3000000000000007</v>
      </c>
      <c r="G20" s="43" t="s">
        <v>3</v>
      </c>
      <c r="H20" s="50">
        <f>IF(D20="","",ROUND(F20/100*$H$5,2))</f>
        <v>1.4</v>
      </c>
      <c r="I20" s="43" t="s">
        <v>4</v>
      </c>
      <c r="K20" s="46"/>
      <c r="L20" s="67" t="s">
        <v>147</v>
      </c>
      <c r="M20" s="71" t="str">
        <f t="shared" ca="1" si="0"/>
        <v/>
      </c>
      <c r="N20" s="71" t="str">
        <f t="shared" ca="1" si="0"/>
        <v/>
      </c>
      <c r="O20" s="71" t="str">
        <f t="shared" ca="1" si="0"/>
        <v/>
      </c>
      <c r="P20" s="71" t="str">
        <f t="shared" ca="1" si="0"/>
        <v/>
      </c>
    </row>
    <row r="21" spans="1:16" ht="11.25" x14ac:dyDescent="0.2">
      <c r="A21" s="43" t="s">
        <v>26</v>
      </c>
      <c r="B21" s="43" t="s">
        <v>124</v>
      </c>
      <c r="C21" s="43"/>
      <c r="D21" s="3">
        <f>D75</f>
        <v>1.3</v>
      </c>
      <c r="E21" s="43" t="s">
        <v>3</v>
      </c>
      <c r="F21" s="55"/>
      <c r="G21" s="43"/>
      <c r="H21" s="47"/>
      <c r="I21" s="43"/>
      <c r="K21" s="46" t="str">
        <f ca="1">IF(D21&lt;&gt;D75,"Wert prüfen!",IF(H61="","Inhalt der gelben Zellen kann angepasst werden.",""))</f>
        <v>Inhalt der gelben Zellen kann angepasst werden.</v>
      </c>
      <c r="L21" s="67" t="s">
        <v>31</v>
      </c>
      <c r="M21" s="71" t="str">
        <f t="shared" ca="1" si="0"/>
        <v/>
      </c>
      <c r="N21" s="71" t="str">
        <f t="shared" ca="1" si="0"/>
        <v/>
      </c>
      <c r="O21" s="71" t="str">
        <f t="shared" ca="1" si="0"/>
        <v/>
      </c>
      <c r="P21" s="71" t="str">
        <f t="shared" ca="1" si="0"/>
        <v/>
      </c>
    </row>
    <row r="22" spans="1:16" x14ac:dyDescent="0.2">
      <c r="A22" s="43"/>
      <c r="B22" s="43" t="s">
        <v>27</v>
      </c>
      <c r="C22" s="43"/>
      <c r="D22" s="53">
        <f>(D21/100)*$F$14</f>
        <v>0</v>
      </c>
      <c r="E22" s="43" t="s">
        <v>3</v>
      </c>
      <c r="F22" s="54">
        <f>IF(D22="","",D21+D22)</f>
        <v>1.3</v>
      </c>
      <c r="G22" s="43" t="s">
        <v>3</v>
      </c>
      <c r="H22" s="50">
        <f>IF(D22="","",ROUND(F22/100*$H$5,2))</f>
        <v>0.2</v>
      </c>
      <c r="I22" s="43" t="s">
        <v>4</v>
      </c>
      <c r="K22" s="46"/>
      <c r="L22" s="67" t="s">
        <v>148</v>
      </c>
      <c r="M22" s="71" t="str">
        <f>IF($F$27="","",ROUND($F$27/100*M7,2))</f>
        <v/>
      </c>
      <c r="N22" s="71" t="str">
        <f>IF($F$27="","",ROUND($F$27/100*N7,2))</f>
        <v/>
      </c>
      <c r="O22" s="71" t="str">
        <f>IF($F$27="","",ROUND($F$27/100*O7,2))</f>
        <v/>
      </c>
      <c r="P22" s="71" t="str">
        <f>IF($F$27="","",ROUND($F$27/100*P7,2))</f>
        <v/>
      </c>
    </row>
    <row r="23" spans="1:16" ht="11.25" x14ac:dyDescent="0.2">
      <c r="A23" s="43" t="s">
        <v>28</v>
      </c>
      <c r="B23" s="43" t="s">
        <v>125</v>
      </c>
      <c r="C23" s="43"/>
      <c r="D23" s="3">
        <f>D76</f>
        <v>1.8</v>
      </c>
      <c r="E23" s="43" t="s">
        <v>3</v>
      </c>
      <c r="F23" s="55"/>
      <c r="G23" s="43"/>
      <c r="H23" s="47"/>
      <c r="I23" s="43"/>
      <c r="K23" s="46" t="str">
        <f ca="1">IF(D23&lt;&gt;D76,"Wert prüfen!",IF(H61="","Inhalt der gelben Zellen kann angepasst werden.",""))</f>
        <v>Inhalt der gelben Zellen kann angepasst werden.</v>
      </c>
      <c r="L23" s="66" t="s">
        <v>37</v>
      </c>
      <c r="M23" s="73" t="str">
        <f>IF($F$32="","",ROUND($F$32/100*M7,2))</f>
        <v/>
      </c>
      <c r="N23" s="73" t="str">
        <f t="shared" ref="N23:P23" si="1">IF($F$32="","",ROUND($F$32/100*N7,2))</f>
        <v/>
      </c>
      <c r="O23" s="73" t="str">
        <f t="shared" si="1"/>
        <v/>
      </c>
      <c r="P23" s="73" t="str">
        <f t="shared" si="1"/>
        <v/>
      </c>
    </row>
    <row r="24" spans="1:16" x14ac:dyDescent="0.2">
      <c r="A24" s="43"/>
      <c r="B24" s="43" t="s">
        <v>29</v>
      </c>
      <c r="C24" s="43"/>
      <c r="D24" s="53">
        <f>(D23/100)*$F$14</f>
        <v>0</v>
      </c>
      <c r="E24" s="43" t="s">
        <v>3</v>
      </c>
      <c r="F24" s="54">
        <f>IF(D24="","",D23+D24)</f>
        <v>1.8</v>
      </c>
      <c r="G24" s="43" t="s">
        <v>3</v>
      </c>
      <c r="H24" s="50">
        <f>IF(D24="","",ROUND(F24/100*$H$5,2))</f>
        <v>0.27</v>
      </c>
      <c r="I24" s="43" t="s">
        <v>4</v>
      </c>
      <c r="K24" s="46"/>
      <c r="L24" s="67" t="s">
        <v>149</v>
      </c>
      <c r="M24" s="71">
        <f ca="1">SUM(M12:M23)</f>
        <v>0</v>
      </c>
      <c r="N24" s="71">
        <f t="shared" ref="N24:P24" ca="1" si="2">SUM(N12:N23)</f>
        <v>0</v>
      </c>
      <c r="O24" s="71">
        <f t="shared" ca="1" si="2"/>
        <v>0</v>
      </c>
      <c r="P24" s="71">
        <f t="shared" ca="1" si="2"/>
        <v>0</v>
      </c>
    </row>
    <row r="25" spans="1:16" ht="11.25" x14ac:dyDescent="0.2">
      <c r="A25" s="43" t="s">
        <v>30</v>
      </c>
      <c r="B25" s="43" t="s">
        <v>126</v>
      </c>
      <c r="C25" s="43"/>
      <c r="D25" s="3"/>
      <c r="E25" s="43" t="s">
        <v>3</v>
      </c>
      <c r="F25" s="55"/>
      <c r="G25" s="43"/>
      <c r="H25" s="47"/>
      <c r="I25" s="43"/>
      <c r="K25" s="46" t="str">
        <f>IF(D25="","Bitte ausfüllen!","")</f>
        <v>Bitte ausfüllen!</v>
      </c>
      <c r="L25" s="67" t="s">
        <v>150</v>
      </c>
      <c r="M25" s="72" t="str">
        <f ca="1">IF(M7="","",(SUM(M12:M23)+M7))</f>
        <v/>
      </c>
      <c r="N25" s="72" t="str">
        <f t="shared" ref="N25:P25" ca="1" si="3">IF(N7="","",(SUM(N12:N23)+N7))</f>
        <v/>
      </c>
      <c r="O25" s="72" t="str">
        <f t="shared" ca="1" si="3"/>
        <v/>
      </c>
      <c r="P25" s="72" t="str">
        <f t="shared" ca="1" si="3"/>
        <v/>
      </c>
    </row>
    <row r="26" spans="1:16" x14ac:dyDescent="0.2">
      <c r="A26" s="43"/>
      <c r="B26" s="43" t="s">
        <v>31</v>
      </c>
      <c r="C26" s="43"/>
      <c r="D26" s="53">
        <f>(D25/100)*$F$14</f>
        <v>0</v>
      </c>
      <c r="E26" s="43" t="s">
        <v>3</v>
      </c>
      <c r="F26" s="54">
        <f>IF(D26="","",D25+D26)</f>
        <v>0</v>
      </c>
      <c r="G26" s="43" t="s">
        <v>3</v>
      </c>
      <c r="H26" s="50">
        <f>IF(D26="","",ROUND(F26/100*$H$5,2))</f>
        <v>0</v>
      </c>
      <c r="I26" s="43" t="s">
        <v>4</v>
      </c>
      <c r="K26" s="46"/>
      <c r="L26" s="67"/>
      <c r="M26" s="67"/>
      <c r="N26" s="67"/>
      <c r="O26" s="67"/>
      <c r="P26" s="67"/>
    </row>
    <row r="27" spans="1:16" ht="11.25" x14ac:dyDescent="0.2">
      <c r="A27" s="43" t="s">
        <v>32</v>
      </c>
      <c r="B27" s="43" t="s">
        <v>127</v>
      </c>
      <c r="C27" s="43"/>
      <c r="D27" s="43"/>
      <c r="E27" s="43"/>
      <c r="F27" s="3"/>
      <c r="G27" s="43" t="s">
        <v>3</v>
      </c>
      <c r="H27" s="50" t="str">
        <f>IF(F27="","",ROUND(F27/100*$H$5,2))</f>
        <v/>
      </c>
      <c r="I27" s="43" t="s">
        <v>4</v>
      </c>
      <c r="K27" s="46" t="str">
        <f>IF(F27="","Bitte ausfüllen!","")</f>
        <v>Bitte ausfüllen!</v>
      </c>
      <c r="L27" s="67" t="s">
        <v>151</v>
      </c>
      <c r="M27" s="74" t="str">
        <f ca="1">IF(M25="","",ROUND($H$61+M25,2))</f>
        <v/>
      </c>
      <c r="N27" s="74" t="str">
        <f t="shared" ref="N27:P27" ca="1" si="4">IF(N25="","",ROUND($H$61+N25,2))</f>
        <v/>
      </c>
      <c r="O27" s="74" t="str">
        <f t="shared" ca="1" si="4"/>
        <v/>
      </c>
      <c r="P27" s="74" t="str">
        <f t="shared" ca="1" si="4"/>
        <v/>
      </c>
    </row>
    <row r="28" spans="1:16" ht="11.25" x14ac:dyDescent="0.2">
      <c r="A28" s="43" t="s">
        <v>33</v>
      </c>
      <c r="B28" s="43" t="s">
        <v>128</v>
      </c>
      <c r="C28" s="43"/>
      <c r="D28" s="43"/>
      <c r="E28" s="43"/>
      <c r="F28" s="3">
        <f>D79</f>
        <v>0.15</v>
      </c>
      <c r="G28" s="43" t="s">
        <v>3</v>
      </c>
      <c r="H28" s="50">
        <f>IF(F28="","",ROUND(F28/100*$H$5,2))</f>
        <v>0.02</v>
      </c>
      <c r="I28" s="43" t="s">
        <v>4</v>
      </c>
      <c r="K28" s="46" t="str">
        <f ca="1">IF(F28&lt;&gt;D79,"Wert prüfen!",IF(H61="","Inhalt der gelben Zellen kann angepasst werden.",""))</f>
        <v>Inhalt der gelben Zellen kann angepasst werden.</v>
      </c>
    </row>
    <row r="29" spans="1:16" ht="23.45" customHeight="1" x14ac:dyDescent="0.2">
      <c r="A29" s="44"/>
      <c r="B29" s="149" t="s">
        <v>34</v>
      </c>
      <c r="C29" s="149"/>
      <c r="D29" s="44"/>
      <c r="E29" s="44"/>
      <c r="F29" s="51">
        <f>IF(SUM(F17:F28)=0,0,SUM(F17:F28)+F14)</f>
        <v>21.3</v>
      </c>
      <c r="G29" s="44" t="s">
        <v>3</v>
      </c>
      <c r="H29" s="52" t="str">
        <f>IF(OR(COUNTIF(D17:D26,"")&gt;0,COUNTIF(F27:F28,"")&gt;0),"",SUM(H17:H28)+H14)</f>
        <v/>
      </c>
      <c r="I29" s="44" t="s">
        <v>4</v>
      </c>
      <c r="K29" s="46" t="str">
        <f>IF(H29="","Angaben offen!","")</f>
        <v>Angaben offen!</v>
      </c>
    </row>
    <row r="30" spans="1:16" ht="5.45" customHeight="1" x14ac:dyDescent="0.2">
      <c r="A30" s="43"/>
      <c r="B30" s="43"/>
      <c r="C30" s="43"/>
      <c r="D30" s="43"/>
      <c r="E30" s="43"/>
      <c r="F30" s="47"/>
      <c r="G30" s="43"/>
      <c r="H30" s="47"/>
      <c r="I30" s="43"/>
    </row>
    <row r="31" spans="1:16" x14ac:dyDescent="0.2">
      <c r="A31" s="43"/>
      <c r="B31" s="44" t="s">
        <v>35</v>
      </c>
      <c r="C31" s="43"/>
      <c r="D31" s="43"/>
      <c r="E31" s="43"/>
      <c r="F31" s="47"/>
      <c r="G31" s="43"/>
      <c r="H31" s="47"/>
      <c r="I31" s="43"/>
    </row>
    <row r="32" spans="1:16" x14ac:dyDescent="0.2">
      <c r="A32" s="43" t="s">
        <v>36</v>
      </c>
      <c r="B32" s="43" t="s">
        <v>37</v>
      </c>
      <c r="C32" s="43"/>
      <c r="D32" s="43"/>
      <c r="E32" s="43"/>
      <c r="F32" s="3"/>
      <c r="G32" s="43" t="s">
        <v>3</v>
      </c>
      <c r="H32" s="50" t="str">
        <f>IF(F32="","",ROUND(F32/100*$H$5,2))</f>
        <v/>
      </c>
      <c r="I32" s="43" t="s">
        <v>4</v>
      </c>
      <c r="K32" s="46" t="str">
        <f>IF(F32="","Bitte ausfüllen!","")</f>
        <v>Bitte ausfüllen!</v>
      </c>
    </row>
    <row r="33" spans="1:11" x14ac:dyDescent="0.2">
      <c r="A33" s="43" t="s">
        <v>38</v>
      </c>
      <c r="B33" s="43" t="s">
        <v>39</v>
      </c>
      <c r="C33" s="43"/>
      <c r="D33" s="43"/>
      <c r="E33" s="43"/>
      <c r="F33" s="3"/>
      <c r="G33" s="43" t="s">
        <v>3</v>
      </c>
      <c r="H33" s="50" t="str">
        <f>IF(F33="","",ROUND(F33/100*$H$5,2))</f>
        <v/>
      </c>
      <c r="I33" s="43" t="s">
        <v>4</v>
      </c>
      <c r="K33" s="46" t="str">
        <f>IF(F33="","Bitte ausfüllen!","")</f>
        <v>Bitte ausfüllen!</v>
      </c>
    </row>
    <row r="34" spans="1:11" ht="22.15" customHeight="1" x14ac:dyDescent="0.2">
      <c r="A34" s="44"/>
      <c r="B34" s="149" t="s">
        <v>40</v>
      </c>
      <c r="C34" s="149"/>
      <c r="D34" s="44"/>
      <c r="E34" s="44"/>
      <c r="F34" s="51">
        <f>IF(SUM(F32:F33)=0,0,SUM(F32:F33)+F29)</f>
        <v>0</v>
      </c>
      <c r="G34" s="44" t="s">
        <v>3</v>
      </c>
      <c r="H34" s="52" t="str">
        <f>IF(COUNTIF(H32:H33,"")&gt;0,"",SUM(H32:H33)+H29)</f>
        <v/>
      </c>
      <c r="I34" s="44" t="s">
        <v>4</v>
      </c>
      <c r="K34" s="46" t="str">
        <f>IF(H34="","Angaben offen!","")</f>
        <v>Angaben offen!</v>
      </c>
    </row>
    <row r="35" spans="1:11" ht="5.45" customHeight="1" x14ac:dyDescent="0.2">
      <c r="A35" s="43"/>
      <c r="B35" s="43"/>
      <c r="C35" s="43"/>
      <c r="D35" s="43"/>
      <c r="E35" s="43"/>
      <c r="F35" s="47"/>
      <c r="G35" s="43"/>
      <c r="H35" s="47"/>
      <c r="I35" s="43"/>
    </row>
    <row r="36" spans="1:11" x14ac:dyDescent="0.2">
      <c r="A36" s="44" t="s">
        <v>41</v>
      </c>
      <c r="B36" s="44" t="s">
        <v>42</v>
      </c>
      <c r="C36" s="44"/>
      <c r="D36" s="44"/>
      <c r="E36" s="44"/>
      <c r="F36" s="48"/>
      <c r="G36" s="44"/>
      <c r="H36" s="48"/>
      <c r="I36" s="44"/>
    </row>
    <row r="37" spans="1:11" x14ac:dyDescent="0.2">
      <c r="A37" s="43" t="s">
        <v>43</v>
      </c>
      <c r="B37" s="43" t="s">
        <v>44</v>
      </c>
      <c r="C37" s="43"/>
      <c r="D37" s="43"/>
      <c r="E37" s="43"/>
      <c r="F37" s="47"/>
      <c r="G37" s="43"/>
      <c r="H37" s="47"/>
      <c r="I37" s="43"/>
    </row>
    <row r="38" spans="1:11" x14ac:dyDescent="0.2">
      <c r="A38" s="43"/>
      <c r="B38" s="43" t="s">
        <v>45</v>
      </c>
      <c r="C38" s="43"/>
      <c r="D38" s="43"/>
      <c r="E38" s="43"/>
      <c r="F38" s="3"/>
      <c r="G38" s="43" t="s">
        <v>3</v>
      </c>
      <c r="H38" s="50" t="str">
        <f>IF(F38="","",ROUND(F38/100*$H$5,2))</f>
        <v/>
      </c>
      <c r="I38" s="43" t="s">
        <v>4</v>
      </c>
      <c r="K38" s="46" t="str">
        <f>IF(F38="","Bitte ausfüllen!","")</f>
        <v>Bitte ausfüllen!</v>
      </c>
    </row>
    <row r="39" spans="1:11" x14ac:dyDescent="0.2">
      <c r="A39" s="43" t="s">
        <v>46</v>
      </c>
      <c r="B39" s="43" t="s">
        <v>47</v>
      </c>
      <c r="C39" s="43"/>
      <c r="D39" s="43"/>
      <c r="E39" s="43"/>
      <c r="F39" s="3"/>
      <c r="G39" s="43" t="s">
        <v>3</v>
      </c>
      <c r="H39" s="50" t="str">
        <f>IF(F39="","",ROUND(F39/100*$H$5,2))</f>
        <v/>
      </c>
      <c r="I39" s="43" t="s">
        <v>4</v>
      </c>
      <c r="K39" s="46" t="str">
        <f>IF(F39="","Bitte ausfüllen!","")</f>
        <v>Bitte ausfüllen!</v>
      </c>
    </row>
    <row r="40" spans="1:11" x14ac:dyDescent="0.2">
      <c r="A40" s="43" t="s">
        <v>48</v>
      </c>
      <c r="B40" s="43" t="s">
        <v>49</v>
      </c>
      <c r="C40" s="43"/>
      <c r="D40" s="43"/>
      <c r="E40" s="43"/>
      <c r="F40" s="3"/>
      <c r="G40" s="43" t="s">
        <v>3</v>
      </c>
      <c r="H40" s="50" t="str">
        <f>IF(F40="","",ROUND(F40/100*$H$5,2))</f>
        <v/>
      </c>
      <c r="I40" s="43" t="s">
        <v>4</v>
      </c>
      <c r="K40" s="46" t="str">
        <f>IF(F40="","Bitte ausfüllen!","")</f>
        <v>Bitte ausfüllen!</v>
      </c>
    </row>
    <row r="41" spans="1:11" x14ac:dyDescent="0.2">
      <c r="A41" s="43" t="s">
        <v>50</v>
      </c>
      <c r="B41" s="43" t="s">
        <v>51</v>
      </c>
      <c r="C41" s="43"/>
      <c r="D41" s="43"/>
      <c r="E41" s="43"/>
      <c r="F41" s="3"/>
      <c r="G41" s="43" t="s">
        <v>3</v>
      </c>
      <c r="H41" s="50" t="str">
        <f>IF(F41="","",ROUND(F41/100*$H$5,2))</f>
        <v/>
      </c>
      <c r="I41" s="43" t="s">
        <v>4</v>
      </c>
      <c r="K41" s="46" t="str">
        <f>IF(F41="","Bitte ausfüllen!","")</f>
        <v>Bitte ausfüllen!</v>
      </c>
    </row>
    <row r="42" spans="1:11" ht="23.45" customHeight="1" x14ac:dyDescent="0.2">
      <c r="A42" s="44"/>
      <c r="B42" s="149" t="s">
        <v>52</v>
      </c>
      <c r="C42" s="149"/>
      <c r="D42" s="44"/>
      <c r="E42" s="44"/>
      <c r="F42" s="51">
        <f>IF(SUM(F38:F41)=0,0,SUM(F38:F41))</f>
        <v>0</v>
      </c>
      <c r="G42" s="44" t="s">
        <v>3</v>
      </c>
      <c r="H42" s="52" t="str">
        <f>IF(COUNTIF(H38:H41,"")&gt;0,"",SUM(H38:H41))</f>
        <v/>
      </c>
      <c r="I42" s="44" t="s">
        <v>4</v>
      </c>
      <c r="K42" s="46" t="str">
        <f>IF(H42="","Angaben offen!","")</f>
        <v>Angaben offen!</v>
      </c>
    </row>
    <row r="43" spans="1:11" ht="5.45" customHeight="1" x14ac:dyDescent="0.2">
      <c r="A43" s="43"/>
      <c r="B43" s="43"/>
      <c r="C43" s="43"/>
      <c r="D43" s="43"/>
      <c r="E43" s="43"/>
      <c r="F43" s="47"/>
      <c r="G43" s="43"/>
      <c r="H43" s="47"/>
      <c r="I43" s="43"/>
    </row>
    <row r="44" spans="1:11" x14ac:dyDescent="0.2">
      <c r="A44" s="44" t="s">
        <v>53</v>
      </c>
      <c r="B44" s="44" t="s">
        <v>54</v>
      </c>
      <c r="C44" s="44"/>
      <c r="D44" s="44"/>
      <c r="E44" s="44"/>
      <c r="F44" s="44"/>
      <c r="G44" s="44"/>
      <c r="H44" s="44"/>
      <c r="I44" s="44"/>
    </row>
    <row r="45" spans="1:11" x14ac:dyDescent="0.2">
      <c r="A45" s="43" t="s">
        <v>55</v>
      </c>
      <c r="B45" s="43" t="s">
        <v>56</v>
      </c>
      <c r="C45" s="43"/>
      <c r="D45" s="43"/>
      <c r="E45" s="43"/>
      <c r="F45" s="43"/>
      <c r="G45" s="43"/>
      <c r="H45" s="43"/>
      <c r="I45" s="43"/>
    </row>
    <row r="46" spans="1:11" x14ac:dyDescent="0.2">
      <c r="A46" s="43" t="s">
        <v>57</v>
      </c>
      <c r="B46" s="43"/>
      <c r="C46" s="43" t="s">
        <v>58</v>
      </c>
      <c r="D46" s="43"/>
      <c r="E46" s="43"/>
      <c r="F46" s="3"/>
      <c r="G46" s="43" t="s">
        <v>3</v>
      </c>
      <c r="H46" s="50" t="str">
        <f>IF(F46="","",ROUND(F46/100*$H$5,2))</f>
        <v/>
      </c>
      <c r="I46" s="43" t="s">
        <v>4</v>
      </c>
      <c r="K46" s="46" t="str">
        <f>IF(F46="","Bitte ausfüllen!","")</f>
        <v>Bitte ausfüllen!</v>
      </c>
    </row>
    <row r="47" spans="1:11" x14ac:dyDescent="0.2">
      <c r="A47" s="43" t="s">
        <v>59</v>
      </c>
      <c r="B47" s="43"/>
      <c r="C47" s="43" t="s">
        <v>121</v>
      </c>
      <c r="D47" s="43"/>
      <c r="E47" s="43"/>
      <c r="F47" s="3"/>
      <c r="G47" s="43" t="s">
        <v>3</v>
      </c>
      <c r="H47" s="50" t="str">
        <f>IF(F47="","",ROUND(F47/100*$H$5,2))</f>
        <v/>
      </c>
      <c r="I47" s="43" t="s">
        <v>4</v>
      </c>
      <c r="K47" s="46" t="str">
        <f>IF(F47="","Bitte ausfüllen!","")</f>
        <v>Bitte ausfüllen!</v>
      </c>
    </row>
    <row r="48" spans="1:11" x14ac:dyDescent="0.2">
      <c r="A48" s="43" t="s">
        <v>60</v>
      </c>
      <c r="B48" s="43" t="s">
        <v>61</v>
      </c>
      <c r="C48" s="43"/>
      <c r="D48" s="43"/>
      <c r="E48" s="43"/>
      <c r="F48" s="3"/>
      <c r="G48" s="43" t="s">
        <v>3</v>
      </c>
      <c r="H48" s="50" t="str">
        <f>IF(F48="","",ROUND(F48/100*$H$5,2))</f>
        <v/>
      </c>
      <c r="I48" s="43" t="s">
        <v>4</v>
      </c>
      <c r="K48" s="46" t="str">
        <f>IF(F48="","Bitte ausfüllen!","")</f>
        <v>Bitte ausfüllen!</v>
      </c>
    </row>
    <row r="49" spans="1:11" x14ac:dyDescent="0.2">
      <c r="A49" s="43" t="s">
        <v>62</v>
      </c>
      <c r="B49" s="43" t="s">
        <v>63</v>
      </c>
      <c r="C49" s="43"/>
      <c r="D49" s="43"/>
      <c r="E49" s="43"/>
      <c r="F49" s="43"/>
      <c r="G49" s="43"/>
      <c r="H49" s="43"/>
      <c r="I49" s="43"/>
    </row>
    <row r="50" spans="1:11" x14ac:dyDescent="0.2">
      <c r="A50" s="43" t="s">
        <v>64</v>
      </c>
      <c r="B50" s="43"/>
      <c r="C50" s="43" t="s">
        <v>65</v>
      </c>
      <c r="D50" s="43"/>
      <c r="E50" s="43"/>
      <c r="F50" s="3"/>
      <c r="G50" s="43" t="s">
        <v>3</v>
      </c>
      <c r="H50" s="50" t="str">
        <f t="shared" ref="H50:H56" si="5">IF(F50="","",ROUND(F50/100*$H$5,2))</f>
        <v/>
      </c>
      <c r="I50" s="43" t="s">
        <v>4</v>
      </c>
      <c r="K50" s="46" t="str">
        <f t="shared" ref="K50:K56" si="6">IF(F50="","Bitte ausfüllen!","")</f>
        <v>Bitte ausfüllen!</v>
      </c>
    </row>
    <row r="51" spans="1:11" x14ac:dyDescent="0.2">
      <c r="A51" s="43" t="s">
        <v>66</v>
      </c>
      <c r="B51" s="43"/>
      <c r="C51" s="43" t="s">
        <v>67</v>
      </c>
      <c r="D51" s="43"/>
      <c r="E51" s="43"/>
      <c r="F51" s="3"/>
      <c r="G51" s="43" t="s">
        <v>3</v>
      </c>
      <c r="H51" s="50" t="str">
        <f t="shared" si="5"/>
        <v/>
      </c>
      <c r="I51" s="43" t="s">
        <v>4</v>
      </c>
      <c r="K51" s="46" t="str">
        <f t="shared" si="6"/>
        <v>Bitte ausfüllen!</v>
      </c>
    </row>
    <row r="52" spans="1:11" x14ac:dyDescent="0.2">
      <c r="A52" s="43" t="s">
        <v>68</v>
      </c>
      <c r="B52" s="43" t="s">
        <v>69</v>
      </c>
      <c r="C52" s="43"/>
      <c r="D52" s="43"/>
      <c r="E52" s="43"/>
      <c r="F52" s="3"/>
      <c r="G52" s="43" t="s">
        <v>3</v>
      </c>
      <c r="H52" s="50" t="str">
        <f t="shared" si="5"/>
        <v/>
      </c>
      <c r="I52" s="43" t="s">
        <v>4</v>
      </c>
      <c r="K52" s="46" t="str">
        <f t="shared" si="6"/>
        <v>Bitte ausfüllen!</v>
      </c>
    </row>
    <row r="53" spans="1:11" x14ac:dyDescent="0.2">
      <c r="A53" s="43" t="s">
        <v>70</v>
      </c>
      <c r="B53" s="43" t="s">
        <v>71</v>
      </c>
      <c r="C53" s="43"/>
      <c r="D53" s="43"/>
      <c r="E53" s="43"/>
      <c r="F53" s="3"/>
      <c r="G53" s="43" t="s">
        <v>3</v>
      </c>
      <c r="H53" s="50" t="str">
        <f t="shared" si="5"/>
        <v/>
      </c>
      <c r="I53" s="43" t="s">
        <v>4</v>
      </c>
      <c r="K53" s="46" t="str">
        <f t="shared" si="6"/>
        <v>Bitte ausfüllen!</v>
      </c>
    </row>
    <row r="54" spans="1:11" x14ac:dyDescent="0.2">
      <c r="A54" s="43" t="s">
        <v>72</v>
      </c>
      <c r="B54" s="43" t="s">
        <v>73</v>
      </c>
      <c r="C54" s="43"/>
      <c r="D54" s="43"/>
      <c r="E54" s="43"/>
      <c r="F54" s="3"/>
      <c r="G54" s="43" t="s">
        <v>3</v>
      </c>
      <c r="H54" s="50" t="str">
        <f t="shared" si="5"/>
        <v/>
      </c>
      <c r="I54" s="43" t="s">
        <v>4</v>
      </c>
      <c r="K54" s="46" t="str">
        <f t="shared" si="6"/>
        <v>Bitte ausfüllen!</v>
      </c>
    </row>
    <row r="55" spans="1:11" x14ac:dyDescent="0.2">
      <c r="A55" s="43" t="s">
        <v>74</v>
      </c>
      <c r="B55" s="43" t="s">
        <v>75</v>
      </c>
      <c r="C55" s="43"/>
      <c r="D55" s="43"/>
      <c r="E55" s="43"/>
      <c r="F55" s="3"/>
      <c r="G55" s="43" t="s">
        <v>3</v>
      </c>
      <c r="H55" s="50" t="str">
        <f t="shared" si="5"/>
        <v/>
      </c>
      <c r="I55" s="43" t="s">
        <v>4</v>
      </c>
      <c r="K55" s="46" t="str">
        <f t="shared" si="6"/>
        <v>Bitte ausfüllen!</v>
      </c>
    </row>
    <row r="56" spans="1:11" x14ac:dyDescent="0.2">
      <c r="A56" s="43" t="s">
        <v>76</v>
      </c>
      <c r="B56" s="43" t="s">
        <v>77</v>
      </c>
      <c r="C56" s="43"/>
      <c r="D56" s="43"/>
      <c r="E56" s="43"/>
      <c r="F56" s="3"/>
      <c r="G56" s="43" t="s">
        <v>3</v>
      </c>
      <c r="H56" s="50" t="str">
        <f t="shared" si="5"/>
        <v/>
      </c>
      <c r="I56" s="43" t="s">
        <v>4</v>
      </c>
      <c r="K56" s="46" t="str">
        <f t="shared" si="6"/>
        <v>Bitte ausfüllen!</v>
      </c>
    </row>
    <row r="57" spans="1:11" ht="23.45" customHeight="1" x14ac:dyDescent="0.2">
      <c r="A57" s="44"/>
      <c r="B57" s="149" t="s">
        <v>78</v>
      </c>
      <c r="C57" s="149"/>
      <c r="D57" s="44"/>
      <c r="E57" s="44"/>
      <c r="F57" s="51">
        <f>IF(SUM(F45:F56)=0,0,SUM(F45:F56))</f>
        <v>0</v>
      </c>
      <c r="G57" s="44" t="s">
        <v>3</v>
      </c>
      <c r="H57" s="52" t="str">
        <f>IF(COUNTIF(H46:H56,"")&gt;1,"",SUM(H46:H56))</f>
        <v/>
      </c>
      <c r="I57" s="44" t="s">
        <v>4</v>
      </c>
      <c r="K57" s="46" t="str">
        <f>IF(H57="","Angaben offen!","")</f>
        <v>Angaben offen!</v>
      </c>
    </row>
    <row r="58" spans="1:11" ht="6.6" customHeight="1" x14ac:dyDescent="0.2">
      <c r="A58" s="43"/>
      <c r="B58" s="43"/>
      <c r="C58" s="43"/>
      <c r="D58" s="43"/>
      <c r="E58" s="43"/>
      <c r="F58" s="47"/>
      <c r="G58" s="43"/>
      <c r="H58" s="47"/>
      <c r="I58" s="43"/>
    </row>
    <row r="59" spans="1:11" x14ac:dyDescent="0.2">
      <c r="A59" s="44" t="s">
        <v>79</v>
      </c>
      <c r="B59" s="148" t="s">
        <v>80</v>
      </c>
      <c r="C59" s="148"/>
      <c r="D59" s="44"/>
      <c r="E59" s="44"/>
      <c r="F59" s="56">
        <f>IF(AND(F34=""),0,F34+F42+F57+F5)</f>
        <v>100</v>
      </c>
      <c r="G59" s="44" t="s">
        <v>3</v>
      </c>
      <c r="H59" s="48" t="str">
        <f>IF(H57="","",H34+H42+H57+H5)</f>
        <v/>
      </c>
      <c r="I59" s="44" t="s">
        <v>4</v>
      </c>
    </row>
    <row r="60" spans="1:11" x14ac:dyDescent="0.2">
      <c r="A60" s="44" t="s">
        <v>81</v>
      </c>
      <c r="B60" s="44" t="s">
        <v>82</v>
      </c>
      <c r="C60" s="44"/>
      <c r="D60" s="44"/>
      <c r="E60" s="44"/>
      <c r="F60" s="3"/>
      <c r="G60" s="44" t="s">
        <v>3</v>
      </c>
      <c r="H60" s="52" t="str">
        <f>IF(F60="","",ROUND(F60/100*H59,2))</f>
        <v/>
      </c>
      <c r="I60" s="44" t="s">
        <v>4</v>
      </c>
      <c r="K60" s="46" t="str">
        <f>IF(F60="","Bitte ausfüllen!","")</f>
        <v>Bitte ausfüllen!</v>
      </c>
    </row>
    <row r="61" spans="1:11" x14ac:dyDescent="0.2">
      <c r="A61" s="44"/>
      <c r="B61" s="44" t="s">
        <v>83</v>
      </c>
      <c r="C61" s="44"/>
      <c r="D61" s="44"/>
      <c r="E61" s="44"/>
      <c r="F61" s="51">
        <f ca="1">IF(H61="",0,H61/H5*100)</f>
        <v>0</v>
      </c>
      <c r="G61" s="44" t="s">
        <v>3</v>
      </c>
      <c r="H61" s="52" t="str">
        <f ca="1">IF(SUM(COUNTIF(INDIRECT({"H5","F9:F13","D17:D26","F27:F28","F32:F33","F38:F41","F46:F48","F50:F56","F60","H65:H68"}),""))&gt;0,"",H59+H60)</f>
        <v/>
      </c>
      <c r="I61" s="44" t="s">
        <v>4</v>
      </c>
      <c r="K61" s="46" t="str">
        <f ca="1">IF(SUM(COUNTIF(INDIRECT({"H5","F9:F13","D17:D26","F27:F28","F32:F33","F38:F41","F46:F48","F50:F56","F60","H65:H68"}),""))&gt;0,SUM(COUNTIF(INDIRECT({"H5","F9:F13","D17:D26","F27:F28","F32:F33","F38:F41","F46:F48","F50:F56","F60","H65:H68"}),"")) &amp;" Zelle(n) ohne Wert!","")</f>
        <v>28 Zelle(n) ohne Wert!</v>
      </c>
    </row>
    <row r="62" spans="1:11" x14ac:dyDescent="0.2">
      <c r="A62" s="43"/>
      <c r="B62" s="43" t="s">
        <v>84</v>
      </c>
      <c r="C62" s="43"/>
      <c r="D62" s="43"/>
      <c r="E62" s="43"/>
      <c r="F62" s="51">
        <f ca="1">IF(F61=0,0,F61-F5)</f>
        <v>0</v>
      </c>
      <c r="G62" s="43" t="s">
        <v>3</v>
      </c>
      <c r="H62" s="43"/>
      <c r="I62" s="43"/>
      <c r="K62" s="46" t="str">
        <f ca="1">IF(F62&lt;70,"Bitte prüfen gemäß Aufforderung!","")</f>
        <v>Bitte prüfen gemäß Aufforderung!</v>
      </c>
    </row>
    <row r="63" spans="1:11" ht="5.45" customHeight="1" x14ac:dyDescent="0.2">
      <c r="A63" s="43"/>
      <c r="B63" s="44"/>
      <c r="C63" s="43"/>
      <c r="D63" s="43"/>
      <c r="E63" s="43"/>
      <c r="F63" s="56"/>
      <c r="G63" s="43"/>
      <c r="H63" s="48"/>
    </row>
    <row r="64" spans="1:11" x14ac:dyDescent="0.2">
      <c r="B64" s="44" t="s">
        <v>85</v>
      </c>
      <c r="D64" s="44"/>
      <c r="E64" s="44"/>
      <c r="G64" s="44"/>
      <c r="H64" s="48" t="s">
        <v>86</v>
      </c>
      <c r="I64" s="44"/>
    </row>
    <row r="65" spans="1:15" x14ac:dyDescent="0.2">
      <c r="B65" s="43" t="s">
        <v>87</v>
      </c>
      <c r="D65" s="43"/>
      <c r="E65" s="43"/>
      <c r="G65" s="57"/>
      <c r="H65" s="4"/>
      <c r="I65" s="57"/>
      <c r="K65" s="46" t="str">
        <f>IF(H65="","Bitte ausfüllen!","")</f>
        <v>Bitte ausfüllen!</v>
      </c>
    </row>
    <row r="66" spans="1:15" x14ac:dyDescent="0.2">
      <c r="B66" s="43" t="s">
        <v>88</v>
      </c>
      <c r="D66" s="43"/>
      <c r="E66" s="43"/>
      <c r="G66" s="57"/>
      <c r="H66" s="5"/>
      <c r="I66" s="57"/>
      <c r="K66" s="46" t="str">
        <f>IF(H66="","Bitte ausfüllen!","")</f>
        <v>Bitte ausfüllen!</v>
      </c>
    </row>
    <row r="67" spans="1:15" x14ac:dyDescent="0.2">
      <c r="B67" s="43" t="s">
        <v>89</v>
      </c>
      <c r="D67" s="43"/>
      <c r="E67" s="43"/>
      <c r="G67" s="57"/>
      <c r="H67" s="6"/>
      <c r="I67" s="57"/>
      <c r="K67" s="46" t="str">
        <f>IF(H67="","Bitte ausfüllen!","")</f>
        <v>Bitte ausfüllen!</v>
      </c>
    </row>
    <row r="68" spans="1:15" x14ac:dyDescent="0.2">
      <c r="B68" s="43" t="s">
        <v>90</v>
      </c>
      <c r="D68" s="43"/>
      <c r="E68" s="43"/>
      <c r="G68" s="57"/>
      <c r="H68" s="5"/>
      <c r="I68" s="57"/>
      <c r="K68" s="46" t="str">
        <f>IF(H68="","Bitte ausfüllen!","")</f>
        <v>Bitte ausfüllen!</v>
      </c>
    </row>
    <row r="69" spans="1:15" ht="5.45" customHeight="1" x14ac:dyDescent="0.2"/>
    <row r="70" spans="1:15" ht="5.45" customHeight="1" x14ac:dyDescent="0.2">
      <c r="C70" s="19"/>
      <c r="D70" s="15"/>
    </row>
    <row r="71" spans="1:15" ht="15.95" customHeight="1" x14ac:dyDescent="0.2">
      <c r="A71" s="139" t="s">
        <v>209</v>
      </c>
      <c r="B71" s="139"/>
      <c r="C71" s="139"/>
      <c r="D71" s="139" t="s">
        <v>212</v>
      </c>
      <c r="F71" s="141" t="s">
        <v>134</v>
      </c>
      <c r="G71" s="142"/>
      <c r="H71" s="143"/>
      <c r="L71" s="58"/>
      <c r="M71" s="58"/>
      <c r="N71" s="58"/>
      <c r="O71" s="58"/>
    </row>
    <row r="72" spans="1:15" ht="15.95" customHeight="1" x14ac:dyDescent="0.2">
      <c r="A72" s="140"/>
      <c r="B72" s="140"/>
      <c r="C72" s="140"/>
      <c r="D72" s="140"/>
      <c r="F72" s="144"/>
      <c r="G72" s="145"/>
      <c r="H72" s="146"/>
      <c r="I72" s="44"/>
      <c r="J72" s="44"/>
      <c r="K72" s="44"/>
      <c r="L72" s="58"/>
      <c r="M72" s="58"/>
      <c r="N72" s="58"/>
      <c r="O72" s="58"/>
    </row>
    <row r="73" spans="1:15" ht="19.899999999999999" customHeight="1" x14ac:dyDescent="0.2">
      <c r="A73" s="137">
        <v>1</v>
      </c>
      <c r="B73" s="137"/>
      <c r="C73" s="60" t="s">
        <v>129</v>
      </c>
      <c r="D73" s="61">
        <v>7.3</v>
      </c>
      <c r="F73" s="138" t="s">
        <v>399</v>
      </c>
      <c r="G73" s="138"/>
      <c r="H73" s="138"/>
    </row>
    <row r="74" spans="1:15" ht="19.899999999999999" customHeight="1" x14ac:dyDescent="0.2">
      <c r="A74" s="137">
        <v>2</v>
      </c>
      <c r="B74" s="137"/>
      <c r="C74" s="60" t="s">
        <v>130</v>
      </c>
      <c r="D74" s="61">
        <v>9.3000000000000007</v>
      </c>
    </row>
    <row r="75" spans="1:15" ht="25.5" customHeight="1" x14ac:dyDescent="0.2">
      <c r="A75" s="137">
        <v>3</v>
      </c>
      <c r="B75" s="137"/>
      <c r="C75" s="60" t="s">
        <v>131</v>
      </c>
      <c r="D75" s="61">
        <v>1.3</v>
      </c>
    </row>
    <row r="76" spans="1:15" ht="25.5" customHeight="1" x14ac:dyDescent="0.2">
      <c r="A76" s="137">
        <v>4</v>
      </c>
      <c r="B76" s="137"/>
      <c r="C76" s="60" t="s">
        <v>132</v>
      </c>
      <c r="D76" s="61">
        <f>IF( F73="Sachsen",1.3,1.8)</f>
        <v>1.8</v>
      </c>
    </row>
    <row r="77" spans="1:15" ht="31.5" x14ac:dyDescent="0.2">
      <c r="A77" s="137">
        <v>5</v>
      </c>
      <c r="B77" s="137"/>
      <c r="C77" s="60" t="s">
        <v>213</v>
      </c>
      <c r="D77" s="61">
        <v>1.45</v>
      </c>
    </row>
    <row r="78" spans="1:15" ht="25.5" customHeight="1" x14ac:dyDescent="0.2">
      <c r="A78" s="137">
        <v>6</v>
      </c>
      <c r="B78" s="137"/>
      <c r="C78" s="60" t="s">
        <v>119</v>
      </c>
      <c r="D78" s="61"/>
    </row>
    <row r="79" spans="1:15" ht="25.5" customHeight="1" x14ac:dyDescent="0.2">
      <c r="A79" s="137">
        <v>7</v>
      </c>
      <c r="B79" s="137"/>
      <c r="C79" s="60" t="s">
        <v>133</v>
      </c>
      <c r="D79" s="61">
        <v>0.15</v>
      </c>
    </row>
  </sheetData>
  <sheetProtection algorithmName="SHA-512" hashValue="axijliQOYGB8EdE9vNhMLQwHQYpGtOE50pTOkdPtJEghlWmEMoe3Q6OsW6/IWIkEVqP8TFhLlJF89oW4VL7rxw==" saltValue="2gHSCrDhAPWzQ0ZXGiS76A==" spinCount="100000" sheet="1" objects="1" scenarios="1"/>
  <mergeCells count="18">
    <mergeCell ref="A71:C72"/>
    <mergeCell ref="D71:D72"/>
    <mergeCell ref="F71:H72"/>
    <mergeCell ref="E1:I2"/>
    <mergeCell ref="A3:I3"/>
    <mergeCell ref="B59:C59"/>
    <mergeCell ref="B29:C29"/>
    <mergeCell ref="B34:C34"/>
    <mergeCell ref="B42:C42"/>
    <mergeCell ref="B57:C57"/>
    <mergeCell ref="A78:B78"/>
    <mergeCell ref="A79:B79"/>
    <mergeCell ref="F73:H73"/>
    <mergeCell ref="A73:B73"/>
    <mergeCell ref="A74:B74"/>
    <mergeCell ref="A75:B75"/>
    <mergeCell ref="A76:B76"/>
    <mergeCell ref="A77:B77"/>
  </mergeCells>
  <phoneticPr fontId="3" type="noConversion"/>
  <dataValidations count="1">
    <dataValidation type="decimal" errorStyle="warning" allowBlank="1" showInputMessage="1" showErrorMessage="1" error="Bitte überprüfen Sie Ihre Eingaben." sqref="C25" xr:uid="{00000000-0002-0000-0300-000000000000}">
      <formula1>8.5</formula1>
      <formula2>84</formula2>
    </dataValidation>
  </dataValidations>
  <hyperlinks>
    <hyperlink ref="K1" location="Inhaltsverzeichnis!A1" display="Zurück zum Inhaltsverzeichnis" xr:uid="{00000000-0004-0000-0300-000000000000}"/>
  </hyperlinks>
  <printOptions horizontalCentered="1"/>
  <pageMargins left="0.78740157480314965" right="0.78740157480314965" top="0.98425196850393704" bottom="0.98425196850393704" header="0.51181102362204722" footer="0.51181102362204722"/>
  <pageSetup paperSize="9" scale="60" fitToWidth="0" fitToHeight="0" orientation="portrait" r:id="rId1"/>
  <headerFooter alignWithMargins="0">
    <oddHeader>&amp;L&amp;F</oddHeader>
    <oddFooter>&amp;LStadt Königs Wusterhausen&amp;CSeite &amp;P von &amp;N&amp;RSVS UnterhaltsRG</oddFooter>
  </headerFooter>
  <rowBreaks count="1" manualBreakCount="1">
    <brk id="79" max="16383" man="1"/>
  </rowBreaks>
  <colBreaks count="1" manualBreakCount="1">
    <brk id="11" max="1048575" man="1"/>
  </colBreaks>
  <ignoredErrors>
    <ignoredError sqref="A11:A13"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defaultSize="0" autoFill="0" autoLine="0" autoPict="0" altText="Hinweis">
                <anchor moveWithCells="1">
                  <from>
                    <xdr:col>2</xdr:col>
                    <xdr:colOff>2914650</xdr:colOff>
                    <xdr:row>0</xdr:row>
                    <xdr:rowOff>123825</xdr:rowOff>
                  </from>
                  <to>
                    <xdr:col>3</xdr:col>
                    <xdr:colOff>552450</xdr:colOff>
                    <xdr:row>0</xdr:row>
                    <xdr:rowOff>409575</xdr:rowOff>
                  </to>
                </anchor>
              </controlPr>
            </control>
          </mc:Choice>
        </mc:AlternateContent>
        <mc:AlternateContent xmlns:mc="http://schemas.openxmlformats.org/markup-compatibility/2006">
          <mc:Choice Requires="x14">
            <control shapeId="26628" r:id="rId5" name="Check Box 4">
              <controlPr defaultSize="0" autoFill="0" autoLine="0" autoPict="0" altText="Hinweis">
                <anchor moveWithCells="1">
                  <from>
                    <xdr:col>2</xdr:col>
                    <xdr:colOff>2914650</xdr:colOff>
                    <xdr:row>0</xdr:row>
                    <xdr:rowOff>428625</xdr:rowOff>
                  </from>
                  <to>
                    <xdr:col>3</xdr:col>
                    <xdr:colOff>552450</xdr:colOff>
                    <xdr:row>1</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indexed="13"/>
  </sheetPr>
  <dimension ref="A1:N79"/>
  <sheetViews>
    <sheetView showGridLines="0" zoomScaleNormal="100" zoomScaleSheetLayoutView="85" workbookViewId="0"/>
  </sheetViews>
  <sheetFormatPr baseColWidth="10" defaultColWidth="11.42578125" defaultRowHeight="10.5" x14ac:dyDescent="0.2"/>
  <cols>
    <col min="1" max="1" width="6.42578125" style="16" customWidth="1"/>
    <col min="2" max="2" width="2.7109375" style="16" customWidth="1"/>
    <col min="3" max="3" width="45.5703125" style="16" customWidth="1"/>
    <col min="4" max="4" width="9" style="16" customWidth="1"/>
    <col min="5" max="5" width="2.5703125" style="16" customWidth="1"/>
    <col min="6" max="6" width="11.42578125" style="16"/>
    <col min="7" max="7" width="2.85546875" style="16" customWidth="1"/>
    <col min="8" max="8" width="11.42578125" style="16"/>
    <col min="9" max="9" width="2.7109375" style="16" bestFit="1" customWidth="1"/>
    <col min="10" max="10" width="1.28515625" style="16" customWidth="1"/>
    <col min="11" max="11" width="18.28515625" style="16" bestFit="1" customWidth="1"/>
    <col min="12" max="16384" width="11.42578125" style="16"/>
  </cols>
  <sheetData>
    <row r="1" spans="1:11" ht="34.15" customHeight="1" x14ac:dyDescent="0.2">
      <c r="A1" s="41" t="str">
        <f ca="1">IF(H61&lt;&gt;"","","Bitte alle gelben Zellen ausfüllen.")</f>
        <v>Bitte alle gelben Zellen ausfüllen.</v>
      </c>
      <c r="D1" s="8" t="b">
        <v>0</v>
      </c>
      <c r="E1" s="129"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129"/>
      <c r="G1" s="129"/>
      <c r="H1" s="129"/>
      <c r="I1" s="129"/>
      <c r="K1" s="1" t="s">
        <v>100</v>
      </c>
    </row>
    <row r="2" spans="1:11" ht="34.5" customHeight="1" x14ac:dyDescent="0.2">
      <c r="A2" s="16" t="s">
        <v>103</v>
      </c>
      <c r="C2" s="15" t="str">
        <f>IF(Inhaltsverzeichnis!$C$3="", "",Inhaltsverzeichnis!$C$3)</f>
        <v/>
      </c>
      <c r="D2" s="8" t="b">
        <v>0</v>
      </c>
      <c r="E2" s="129"/>
      <c r="F2" s="129"/>
      <c r="G2" s="129"/>
      <c r="H2" s="129"/>
      <c r="I2" s="129"/>
    </row>
    <row r="3" spans="1:11" s="42" customFormat="1" ht="12.75" x14ac:dyDescent="0.2">
      <c r="A3" s="147" t="s">
        <v>101</v>
      </c>
      <c r="B3" s="147"/>
      <c r="C3" s="147"/>
      <c r="D3" s="147"/>
      <c r="E3" s="147"/>
      <c r="F3" s="147"/>
      <c r="G3" s="147"/>
      <c r="H3" s="147"/>
      <c r="I3" s="147"/>
    </row>
    <row r="4" spans="1:11" x14ac:dyDescent="0.2">
      <c r="A4" s="43"/>
      <c r="B4" s="43"/>
      <c r="C4" s="43"/>
      <c r="D4" s="43"/>
      <c r="E4" s="43"/>
      <c r="F4" s="43"/>
      <c r="G4" s="43"/>
      <c r="H4" s="43"/>
      <c r="I4" s="43"/>
    </row>
    <row r="5" spans="1:11" ht="15" customHeight="1" x14ac:dyDescent="0.2">
      <c r="A5" s="44" t="s">
        <v>1</v>
      </c>
      <c r="B5" s="44" t="s">
        <v>2</v>
      </c>
      <c r="C5" s="44"/>
      <c r="D5" s="44"/>
      <c r="E5" s="44"/>
      <c r="F5" s="45">
        <v>100</v>
      </c>
      <c r="G5" s="44" t="s">
        <v>3</v>
      </c>
      <c r="H5" s="2">
        <v>15</v>
      </c>
      <c r="I5" s="44" t="s">
        <v>4</v>
      </c>
      <c r="K5" s="46" t="str">
        <f ca="1">IF(H5="","Bitte ausfüllen!",IF(H61="","Der voreingetragene produktive Stundenlohn ist eine Mindestanforderung. Inhalt der gelben Zellen kann angepasst werden.",""))</f>
        <v>Der voreingetragene produktive Stundenlohn ist eine Mindestanforderung. Inhalt der gelben Zellen kann angepasst werden.</v>
      </c>
    </row>
    <row r="6" spans="1:11" x14ac:dyDescent="0.2">
      <c r="A6" s="43"/>
      <c r="B6" s="43"/>
      <c r="C6" s="43"/>
      <c r="D6" s="43"/>
      <c r="E6" s="43"/>
      <c r="F6" s="47"/>
      <c r="G6" s="43"/>
      <c r="H6" s="47"/>
      <c r="I6" s="43"/>
    </row>
    <row r="7" spans="1:11" x14ac:dyDescent="0.2">
      <c r="A7" s="44" t="s">
        <v>5</v>
      </c>
      <c r="B7" s="44" t="s">
        <v>6</v>
      </c>
      <c r="C7" s="44"/>
      <c r="D7" s="44"/>
      <c r="E7" s="44"/>
      <c r="F7" s="48"/>
      <c r="G7" s="44"/>
      <c r="H7" s="48"/>
      <c r="I7" s="44"/>
    </row>
    <row r="8" spans="1:11" ht="14.25" x14ac:dyDescent="0.2">
      <c r="A8" s="43" t="s">
        <v>7</v>
      </c>
      <c r="B8" s="43" t="s">
        <v>8</v>
      </c>
      <c r="C8" s="43"/>
      <c r="D8" s="43"/>
      <c r="E8" s="43"/>
      <c r="F8" s="48"/>
      <c r="G8" s="48"/>
      <c r="H8" s="48"/>
      <c r="I8" s="48"/>
      <c r="K8" s="49"/>
    </row>
    <row r="9" spans="1:11" x14ac:dyDescent="0.2">
      <c r="A9" s="43" t="s">
        <v>9</v>
      </c>
      <c r="B9" s="43"/>
      <c r="C9" s="43" t="s">
        <v>10</v>
      </c>
      <c r="D9" s="43"/>
      <c r="E9" s="43"/>
      <c r="F9" s="3"/>
      <c r="G9" s="43" t="s">
        <v>3</v>
      </c>
      <c r="H9" s="50" t="str">
        <f>IF(F9="","",ROUND(F9/100*$H$5,2))</f>
        <v/>
      </c>
      <c r="I9" s="43" t="s">
        <v>4</v>
      </c>
      <c r="K9" s="46" t="str">
        <f>IF(F9="","Bitte ausfüllen!","")</f>
        <v>Bitte ausfüllen!</v>
      </c>
    </row>
    <row r="10" spans="1:11" x14ac:dyDescent="0.2">
      <c r="A10" s="43" t="s">
        <v>11</v>
      </c>
      <c r="B10" s="43"/>
      <c r="C10" s="43" t="s">
        <v>12</v>
      </c>
      <c r="D10" s="43"/>
      <c r="E10" s="43"/>
      <c r="F10" s="3"/>
      <c r="G10" s="43" t="s">
        <v>3</v>
      </c>
      <c r="H10" s="50" t="str">
        <f>IF(F10="","",ROUND(F10/100*$H$5,2))</f>
        <v/>
      </c>
      <c r="I10" s="43" t="s">
        <v>4</v>
      </c>
      <c r="K10" s="46" t="str">
        <f>IF(F10="","Bitte ausfüllen!","")</f>
        <v>Bitte ausfüllen!</v>
      </c>
    </row>
    <row r="11" spans="1:11" x14ac:dyDescent="0.2">
      <c r="A11" s="43" t="s">
        <v>13</v>
      </c>
      <c r="B11" s="43"/>
      <c r="C11" s="43" t="s">
        <v>14</v>
      </c>
      <c r="D11" s="43"/>
      <c r="E11" s="43"/>
      <c r="F11" s="3"/>
      <c r="G11" s="43" t="s">
        <v>3</v>
      </c>
      <c r="H11" s="50" t="str">
        <f>IF(F11="","",ROUND(F11/100*$H$5,2))</f>
        <v/>
      </c>
      <c r="I11" s="43" t="s">
        <v>4</v>
      </c>
      <c r="K11" s="46" t="str">
        <f>IF(F11="","Bitte ausfüllen!","")</f>
        <v>Bitte ausfüllen!</v>
      </c>
    </row>
    <row r="12" spans="1:11" x14ac:dyDescent="0.2">
      <c r="A12" s="43" t="s">
        <v>15</v>
      </c>
      <c r="B12" s="43"/>
      <c r="C12" s="43" t="s">
        <v>16</v>
      </c>
      <c r="D12" s="43"/>
      <c r="E12" s="43"/>
      <c r="F12" s="3"/>
      <c r="G12" s="43" t="s">
        <v>3</v>
      </c>
      <c r="H12" s="50" t="str">
        <f>IF(F12="","",ROUND(F12/100*$H$5,2))</f>
        <v/>
      </c>
      <c r="I12" s="43" t="s">
        <v>4</v>
      </c>
      <c r="K12" s="46" t="str">
        <f>IF(F12="","Bitte ausfüllen!","")</f>
        <v>Bitte ausfüllen!</v>
      </c>
    </row>
    <row r="13" spans="1:11" x14ac:dyDescent="0.2">
      <c r="A13" s="43" t="s">
        <v>17</v>
      </c>
      <c r="B13" s="43"/>
      <c r="C13" s="43" t="s">
        <v>18</v>
      </c>
      <c r="D13" s="43"/>
      <c r="E13" s="43"/>
      <c r="F13" s="3"/>
      <c r="G13" s="43" t="s">
        <v>3</v>
      </c>
      <c r="H13" s="50" t="str">
        <f>IF(F13="","",ROUND(F13/100*$H$5,2))</f>
        <v/>
      </c>
      <c r="I13" s="43" t="s">
        <v>4</v>
      </c>
      <c r="K13" s="46" t="str">
        <f>IF(F13="","Bitte ausfüllen!","")</f>
        <v>Bitte ausfüllen!</v>
      </c>
    </row>
    <row r="14" spans="1:11" x14ac:dyDescent="0.2">
      <c r="A14" s="44"/>
      <c r="B14" s="44" t="s">
        <v>19</v>
      </c>
      <c r="C14" s="44"/>
      <c r="D14" s="44"/>
      <c r="E14" s="44"/>
      <c r="F14" s="51">
        <f>IF(SUM(F9:F13)=0,0,SUM(F9:F13))</f>
        <v>0</v>
      </c>
      <c r="G14" s="44" t="s">
        <v>3</v>
      </c>
      <c r="H14" s="52" t="str">
        <f>IF(COUNTIF(F9:F13,"")&gt;0,"",SUM(H8:H13))</f>
        <v/>
      </c>
      <c r="I14" s="44" t="s">
        <v>4</v>
      </c>
      <c r="K14" s="46" t="str">
        <f>IF(H14="","Angaben offen!","")</f>
        <v>Angaben offen!</v>
      </c>
    </row>
    <row r="15" spans="1:11" x14ac:dyDescent="0.2">
      <c r="A15" s="43"/>
      <c r="B15" s="43"/>
      <c r="C15" s="43"/>
      <c r="D15" s="43"/>
      <c r="E15" s="43"/>
      <c r="F15" s="47"/>
      <c r="G15" s="43"/>
      <c r="H15" s="47"/>
      <c r="I15" s="43"/>
    </row>
    <row r="16" spans="1:11" x14ac:dyDescent="0.2">
      <c r="A16" s="44" t="s">
        <v>20</v>
      </c>
      <c r="B16" s="44" t="s">
        <v>21</v>
      </c>
      <c r="C16" s="44"/>
      <c r="D16" s="44"/>
      <c r="E16" s="44"/>
      <c r="F16" s="48"/>
      <c r="G16" s="44"/>
      <c r="H16" s="48"/>
      <c r="I16" s="44"/>
    </row>
    <row r="17" spans="1:14" ht="11.25" x14ac:dyDescent="0.2">
      <c r="A17" s="43" t="s">
        <v>22</v>
      </c>
      <c r="B17" s="43" t="s">
        <v>122</v>
      </c>
      <c r="C17" s="43"/>
      <c r="D17" s="3">
        <f>D73+D77</f>
        <v>8.75</v>
      </c>
      <c r="E17" s="43" t="s">
        <v>3</v>
      </c>
      <c r="F17" s="47"/>
      <c r="G17" s="43"/>
      <c r="H17" s="47"/>
      <c r="I17" s="43"/>
      <c r="K17" s="46" t="str">
        <f ca="1">IF(D17&lt;(D73+D77),"Wert prüfen!",IF(H61="","Inhalt der gelben Zellen kann angepasst werden.",""))</f>
        <v>Inhalt der gelben Zellen kann angepasst werden.</v>
      </c>
    </row>
    <row r="18" spans="1:14" x14ac:dyDescent="0.2">
      <c r="A18" s="43"/>
      <c r="B18" s="43" t="s">
        <v>23</v>
      </c>
      <c r="C18" s="43"/>
      <c r="D18" s="53">
        <f>(D17/100)*$F$14</f>
        <v>0</v>
      </c>
      <c r="E18" s="43" t="s">
        <v>3</v>
      </c>
      <c r="F18" s="54">
        <f>IF(D18="","",D17+D18)</f>
        <v>8.75</v>
      </c>
      <c r="G18" s="43" t="s">
        <v>3</v>
      </c>
      <c r="H18" s="50">
        <f>IF(D18="","",ROUND(F18/100*$H$5,2))</f>
        <v>1.31</v>
      </c>
      <c r="I18" s="43" t="s">
        <v>4</v>
      </c>
      <c r="K18" s="46"/>
    </row>
    <row r="19" spans="1:14" ht="11.25" x14ac:dyDescent="0.2">
      <c r="A19" s="43" t="s">
        <v>24</v>
      </c>
      <c r="B19" s="43" t="s">
        <v>123</v>
      </c>
      <c r="C19" s="43"/>
      <c r="D19" s="3">
        <f>D74</f>
        <v>9.3000000000000007</v>
      </c>
      <c r="E19" s="43" t="s">
        <v>3</v>
      </c>
      <c r="F19" s="55"/>
      <c r="G19" s="43"/>
      <c r="H19" s="47"/>
      <c r="I19" s="43"/>
      <c r="K19" s="46" t="str">
        <f ca="1">IF(D19&lt;&gt;D74,"Wert prüfen!",IF(H61="","Inhalt der gelben Zellen kann angepasst werden.",""))</f>
        <v>Inhalt der gelben Zellen kann angepasst werden.</v>
      </c>
    </row>
    <row r="20" spans="1:14" x14ac:dyDescent="0.2">
      <c r="A20" s="43"/>
      <c r="B20" s="43" t="s">
        <v>25</v>
      </c>
      <c r="C20" s="43"/>
      <c r="D20" s="53">
        <f>(D19/100)*$F$14</f>
        <v>0</v>
      </c>
      <c r="E20" s="43" t="s">
        <v>3</v>
      </c>
      <c r="F20" s="54">
        <f>IF(D20="","",D19+D20)</f>
        <v>9.3000000000000007</v>
      </c>
      <c r="G20" s="43" t="s">
        <v>3</v>
      </c>
      <c r="H20" s="50">
        <f>IF(D20="","",ROUND(F20/100*$H$5,2))</f>
        <v>1.4</v>
      </c>
      <c r="I20" s="43" t="s">
        <v>4</v>
      </c>
      <c r="K20" s="46"/>
    </row>
    <row r="21" spans="1:14" ht="11.25" x14ac:dyDescent="0.2">
      <c r="A21" s="43" t="s">
        <v>26</v>
      </c>
      <c r="B21" s="43" t="s">
        <v>124</v>
      </c>
      <c r="C21" s="43"/>
      <c r="D21" s="3">
        <f>D75</f>
        <v>1.3</v>
      </c>
      <c r="E21" s="43" t="s">
        <v>3</v>
      </c>
      <c r="F21" s="55"/>
      <c r="G21" s="43"/>
      <c r="H21" s="47"/>
      <c r="I21" s="43"/>
      <c r="K21" s="46" t="str">
        <f ca="1">IF(D21&lt;&gt;D75,"Wert prüfen!",IF(H61="","Inhalt der gelben Zellen kann angepasst werden.",""))</f>
        <v>Inhalt der gelben Zellen kann angepasst werden.</v>
      </c>
    </row>
    <row r="22" spans="1:14" x14ac:dyDescent="0.2">
      <c r="A22" s="43"/>
      <c r="B22" s="43" t="s">
        <v>27</v>
      </c>
      <c r="C22" s="43"/>
      <c r="D22" s="53">
        <f>(D21/100)*$F$14</f>
        <v>0</v>
      </c>
      <c r="E22" s="43" t="s">
        <v>3</v>
      </c>
      <c r="F22" s="54">
        <f>IF(D22="","",D21+D22)</f>
        <v>1.3</v>
      </c>
      <c r="G22" s="43" t="s">
        <v>3</v>
      </c>
      <c r="H22" s="50">
        <f>IF(D22="","",ROUND(F22/100*$H$5,2))</f>
        <v>0.2</v>
      </c>
      <c r="I22" s="43" t="s">
        <v>4</v>
      </c>
      <c r="K22" s="46"/>
    </row>
    <row r="23" spans="1:14" ht="11.25" x14ac:dyDescent="0.2">
      <c r="A23" s="43" t="s">
        <v>28</v>
      </c>
      <c r="B23" s="43" t="s">
        <v>125</v>
      </c>
      <c r="C23" s="43"/>
      <c r="D23" s="3">
        <f>D76</f>
        <v>1.8</v>
      </c>
      <c r="E23" s="43" t="s">
        <v>3</v>
      </c>
      <c r="F23" s="55"/>
      <c r="G23" s="43"/>
      <c r="H23" s="47"/>
      <c r="I23" s="43"/>
      <c r="K23" s="46" t="str">
        <f ca="1">IF(D23&lt;&gt;D76,"Wert prüfen!",IF(H61="","Inhalt der gelben Zellen kann angepasst werden.",""))</f>
        <v>Inhalt der gelben Zellen kann angepasst werden.</v>
      </c>
      <c r="L23" s="63"/>
      <c r="M23" s="63"/>
      <c r="N23" s="63"/>
    </row>
    <row r="24" spans="1:14" x14ac:dyDescent="0.2">
      <c r="A24" s="43"/>
      <c r="B24" s="43" t="s">
        <v>29</v>
      </c>
      <c r="C24" s="43"/>
      <c r="D24" s="53">
        <f>(D23/100)*$F$14</f>
        <v>0</v>
      </c>
      <c r="E24" s="43" t="s">
        <v>3</v>
      </c>
      <c r="F24" s="54">
        <f>IF(D24="","",D23+D24)</f>
        <v>1.8</v>
      </c>
      <c r="G24" s="43" t="s">
        <v>3</v>
      </c>
      <c r="H24" s="50">
        <f>IF(D24="","",ROUND(F24/100*$H$5,2))</f>
        <v>0.27</v>
      </c>
      <c r="I24" s="43" t="s">
        <v>4</v>
      </c>
      <c r="K24" s="46"/>
    </row>
    <row r="25" spans="1:14" ht="11.25" x14ac:dyDescent="0.2">
      <c r="A25" s="43" t="s">
        <v>30</v>
      </c>
      <c r="B25" s="43" t="s">
        <v>126</v>
      </c>
      <c r="C25" s="43"/>
      <c r="D25" s="3"/>
      <c r="E25" s="43" t="s">
        <v>3</v>
      </c>
      <c r="F25" s="55"/>
      <c r="G25" s="43"/>
      <c r="H25" s="47"/>
      <c r="I25" s="43"/>
      <c r="K25" s="46" t="str">
        <f>IF(D25="","Bitte ausfüllen!","")</f>
        <v>Bitte ausfüllen!</v>
      </c>
    </row>
    <row r="26" spans="1:14" x14ac:dyDescent="0.2">
      <c r="A26" s="43"/>
      <c r="B26" s="43" t="s">
        <v>31</v>
      </c>
      <c r="C26" s="43"/>
      <c r="D26" s="53">
        <f>(D25/100)*$F$14</f>
        <v>0</v>
      </c>
      <c r="E26" s="43" t="s">
        <v>3</v>
      </c>
      <c r="F26" s="54">
        <f>IF(D26="","",D25+D26)</f>
        <v>0</v>
      </c>
      <c r="G26" s="43" t="s">
        <v>3</v>
      </c>
      <c r="H26" s="50">
        <f>IF(D26="","",ROUND(F26/100*$H$5,2))</f>
        <v>0</v>
      </c>
      <c r="I26" s="43" t="s">
        <v>4</v>
      </c>
      <c r="K26" s="46"/>
    </row>
    <row r="27" spans="1:14" ht="11.25" x14ac:dyDescent="0.2">
      <c r="A27" s="43" t="s">
        <v>32</v>
      </c>
      <c r="B27" s="43" t="s">
        <v>127</v>
      </c>
      <c r="C27" s="43"/>
      <c r="D27" s="43"/>
      <c r="E27" s="43"/>
      <c r="F27" s="3"/>
      <c r="G27" s="43" t="s">
        <v>3</v>
      </c>
      <c r="H27" s="50" t="str">
        <f>IF(F27="","",ROUND(F27/100*$H$5,2))</f>
        <v/>
      </c>
      <c r="I27" s="43" t="s">
        <v>4</v>
      </c>
      <c r="K27" s="46" t="str">
        <f>IF(F27="","Bitte ausfüllen!","")</f>
        <v>Bitte ausfüllen!</v>
      </c>
    </row>
    <row r="28" spans="1:14" ht="11.25" x14ac:dyDescent="0.2">
      <c r="A28" s="43" t="s">
        <v>33</v>
      </c>
      <c r="B28" s="43" t="s">
        <v>128</v>
      </c>
      <c r="C28" s="43"/>
      <c r="D28" s="43"/>
      <c r="E28" s="43"/>
      <c r="F28" s="3">
        <f>D79</f>
        <v>0.15</v>
      </c>
      <c r="G28" s="43" t="s">
        <v>3</v>
      </c>
      <c r="H28" s="50">
        <f>IF(F28="","",ROUND(F28/100*$H$5,2))</f>
        <v>0.02</v>
      </c>
      <c r="I28" s="43" t="s">
        <v>4</v>
      </c>
      <c r="K28" s="46" t="str">
        <f ca="1">IF(F28&lt;&gt;D79,"Wert prüfen!",IF(H61="","Inhalt der gelben Zellen kann angepasst werden.",""))</f>
        <v>Inhalt der gelben Zellen kann angepasst werden.</v>
      </c>
    </row>
    <row r="29" spans="1:14" ht="25.5" customHeight="1" x14ac:dyDescent="0.2">
      <c r="A29" s="44"/>
      <c r="B29" s="149" t="s">
        <v>34</v>
      </c>
      <c r="C29" s="149"/>
      <c r="D29" s="44"/>
      <c r="E29" s="44"/>
      <c r="F29" s="51">
        <f>IF(SUM(F17:F28)=0,0,SUM(F17:F28)+F14)</f>
        <v>21.3</v>
      </c>
      <c r="G29" s="44" t="s">
        <v>3</v>
      </c>
      <c r="H29" s="52" t="str">
        <f>IF(OR(COUNTIF(D17:D26,"")&gt;0,COUNTIF(F27:F28,"")&gt;0),"",SUM(H17:H28)+H14)</f>
        <v/>
      </c>
      <c r="I29" s="44" t="s">
        <v>4</v>
      </c>
      <c r="K29" s="46" t="str">
        <f>IF(H29="","Angaben offen!","")</f>
        <v>Angaben offen!</v>
      </c>
    </row>
    <row r="30" spans="1:14" x14ac:dyDescent="0.2">
      <c r="A30" s="43"/>
      <c r="B30" s="43"/>
      <c r="C30" s="43"/>
      <c r="D30" s="43"/>
      <c r="E30" s="43"/>
      <c r="F30" s="47"/>
      <c r="G30" s="43"/>
      <c r="H30" s="47"/>
      <c r="I30" s="43"/>
    </row>
    <row r="31" spans="1:14" x14ac:dyDescent="0.2">
      <c r="A31" s="43"/>
      <c r="B31" s="44" t="s">
        <v>35</v>
      </c>
      <c r="C31" s="43"/>
      <c r="D31" s="43"/>
      <c r="E31" s="43"/>
      <c r="F31" s="47"/>
      <c r="G31" s="43"/>
      <c r="H31" s="47"/>
      <c r="I31" s="43"/>
    </row>
    <row r="32" spans="1:14" x14ac:dyDescent="0.2">
      <c r="A32" s="43" t="s">
        <v>36</v>
      </c>
      <c r="B32" s="43" t="s">
        <v>37</v>
      </c>
      <c r="C32" s="43"/>
      <c r="D32" s="43"/>
      <c r="E32" s="43"/>
      <c r="F32" s="3"/>
      <c r="G32" s="43" t="s">
        <v>3</v>
      </c>
      <c r="H32" s="50" t="str">
        <f>IF(F32="","",ROUND(F32/100*$H$5,2))</f>
        <v/>
      </c>
      <c r="I32" s="43" t="s">
        <v>4</v>
      </c>
      <c r="K32" s="46" t="str">
        <f>IF(F32="","Bitte ausfüllen!","")</f>
        <v>Bitte ausfüllen!</v>
      </c>
    </row>
    <row r="33" spans="1:11" x14ac:dyDescent="0.2">
      <c r="A33" s="43" t="s">
        <v>38</v>
      </c>
      <c r="B33" s="43" t="s">
        <v>39</v>
      </c>
      <c r="C33" s="43"/>
      <c r="D33" s="43"/>
      <c r="E33" s="43"/>
      <c r="F33" s="3"/>
      <c r="G33" s="43" t="s">
        <v>3</v>
      </c>
      <c r="H33" s="50" t="str">
        <f>IF(F33="","",ROUND(F33/100*$H$5,2))</f>
        <v/>
      </c>
      <c r="I33" s="43" t="s">
        <v>4</v>
      </c>
      <c r="K33" s="46" t="str">
        <f>IF(F33="","Bitte ausfüllen!","")</f>
        <v>Bitte ausfüllen!</v>
      </c>
    </row>
    <row r="34" spans="1:11" ht="25.5" customHeight="1" x14ac:dyDescent="0.2">
      <c r="A34" s="44"/>
      <c r="B34" s="149" t="s">
        <v>40</v>
      </c>
      <c r="C34" s="149"/>
      <c r="D34" s="44"/>
      <c r="E34" s="44"/>
      <c r="F34" s="51">
        <f>IF(SUM(F32:F33)=0,0,SUM(F32:F33)+F29)</f>
        <v>0</v>
      </c>
      <c r="G34" s="44" t="s">
        <v>3</v>
      </c>
      <c r="H34" s="52" t="str">
        <f>IF(COUNTIF(H32:H33,"")&gt;0,"",SUM(H32:H33)+H29)</f>
        <v/>
      </c>
      <c r="I34" s="44" t="s">
        <v>4</v>
      </c>
      <c r="K34" s="46" t="str">
        <f>IF(H34="","Angaben offen!","")</f>
        <v>Angaben offen!</v>
      </c>
    </row>
    <row r="35" spans="1:11" x14ac:dyDescent="0.2">
      <c r="A35" s="43"/>
      <c r="B35" s="43"/>
      <c r="C35" s="43"/>
      <c r="D35" s="43"/>
      <c r="E35" s="43"/>
      <c r="F35" s="47"/>
      <c r="G35" s="43"/>
      <c r="H35" s="47"/>
      <c r="I35" s="43"/>
    </row>
    <row r="36" spans="1:11" x14ac:dyDescent="0.2">
      <c r="A36" s="44" t="s">
        <v>41</v>
      </c>
      <c r="B36" s="44" t="s">
        <v>42</v>
      </c>
      <c r="C36" s="44"/>
      <c r="D36" s="44"/>
      <c r="E36" s="44"/>
      <c r="F36" s="48"/>
      <c r="G36" s="44"/>
      <c r="H36" s="48"/>
      <c r="I36" s="44"/>
    </row>
    <row r="37" spans="1:11" x14ac:dyDescent="0.2">
      <c r="A37" s="43" t="s">
        <v>43</v>
      </c>
      <c r="B37" s="43" t="s">
        <v>44</v>
      </c>
      <c r="C37" s="43"/>
      <c r="D37" s="43"/>
      <c r="E37" s="43"/>
      <c r="F37" s="47"/>
      <c r="G37" s="43"/>
      <c r="H37" s="47"/>
      <c r="I37" s="43"/>
    </row>
    <row r="38" spans="1:11" x14ac:dyDescent="0.2">
      <c r="A38" s="43"/>
      <c r="B38" s="43" t="s">
        <v>45</v>
      </c>
      <c r="C38" s="43"/>
      <c r="D38" s="43"/>
      <c r="E38" s="43"/>
      <c r="F38" s="3"/>
      <c r="G38" s="43" t="s">
        <v>3</v>
      </c>
      <c r="H38" s="50" t="str">
        <f>IF(F38="","",ROUND(F38/100*$H$5,2))</f>
        <v/>
      </c>
      <c r="I38" s="43" t="s">
        <v>4</v>
      </c>
      <c r="K38" s="46" t="str">
        <f>IF(F38="","Bitte ausfüllen!","")</f>
        <v>Bitte ausfüllen!</v>
      </c>
    </row>
    <row r="39" spans="1:11" x14ac:dyDescent="0.2">
      <c r="A39" s="43" t="s">
        <v>46</v>
      </c>
      <c r="B39" s="43" t="s">
        <v>47</v>
      </c>
      <c r="C39" s="43"/>
      <c r="D39" s="43"/>
      <c r="E39" s="43"/>
      <c r="F39" s="3"/>
      <c r="G39" s="43" t="s">
        <v>3</v>
      </c>
      <c r="H39" s="50" t="str">
        <f>IF(F39="","",ROUND(F39/100*$H$5,2))</f>
        <v/>
      </c>
      <c r="I39" s="43" t="s">
        <v>4</v>
      </c>
      <c r="K39" s="46" t="str">
        <f>IF(F39="","Bitte ausfüllen!","")</f>
        <v>Bitte ausfüllen!</v>
      </c>
    </row>
    <row r="40" spans="1:11" x14ac:dyDescent="0.2">
      <c r="A40" s="43" t="s">
        <v>48</v>
      </c>
      <c r="B40" s="43" t="s">
        <v>49</v>
      </c>
      <c r="C40" s="43"/>
      <c r="D40" s="43"/>
      <c r="E40" s="43"/>
      <c r="F40" s="3"/>
      <c r="G40" s="43" t="s">
        <v>3</v>
      </c>
      <c r="H40" s="50" t="str">
        <f>IF(F40="","",ROUND(F40/100*$H$5,2))</f>
        <v/>
      </c>
      <c r="I40" s="43" t="s">
        <v>4</v>
      </c>
      <c r="K40" s="46" t="str">
        <f>IF(F40="","Bitte ausfüllen!","")</f>
        <v>Bitte ausfüllen!</v>
      </c>
    </row>
    <row r="41" spans="1:11" x14ac:dyDescent="0.2">
      <c r="A41" s="43" t="s">
        <v>50</v>
      </c>
      <c r="B41" s="43" t="s">
        <v>51</v>
      </c>
      <c r="C41" s="43"/>
      <c r="D41" s="43"/>
      <c r="E41" s="43"/>
      <c r="F41" s="3"/>
      <c r="G41" s="43" t="s">
        <v>3</v>
      </c>
      <c r="H41" s="50" t="str">
        <f>IF(F41="","",ROUND(F41/100*$H$5,2))</f>
        <v/>
      </c>
      <c r="I41" s="43" t="s">
        <v>4</v>
      </c>
      <c r="K41" s="46" t="str">
        <f>IF(F41="","Bitte ausfüllen!","")</f>
        <v>Bitte ausfüllen!</v>
      </c>
    </row>
    <row r="42" spans="1:11" ht="25.5" customHeight="1" x14ac:dyDescent="0.2">
      <c r="A42" s="44"/>
      <c r="B42" s="149" t="s">
        <v>52</v>
      </c>
      <c r="C42" s="149"/>
      <c r="D42" s="44"/>
      <c r="E42" s="44"/>
      <c r="F42" s="51">
        <f>IF(SUM(F38:F41)=0,0,SUM(F38:F41))</f>
        <v>0</v>
      </c>
      <c r="G42" s="44" t="s">
        <v>3</v>
      </c>
      <c r="H42" s="52" t="str">
        <f>IF(COUNTIF(H38:H41,"")&gt;0,"",SUM(H38:H41))</f>
        <v/>
      </c>
      <c r="I42" s="44" t="s">
        <v>4</v>
      </c>
      <c r="K42" s="46" t="str">
        <f>IF(H42="","Angaben offen!","")</f>
        <v>Angaben offen!</v>
      </c>
    </row>
    <row r="43" spans="1:11" x14ac:dyDescent="0.2">
      <c r="A43" s="43"/>
      <c r="B43" s="43"/>
      <c r="C43" s="43"/>
      <c r="D43" s="43"/>
      <c r="E43" s="43"/>
      <c r="F43" s="47"/>
      <c r="G43" s="43"/>
      <c r="H43" s="47"/>
      <c r="I43" s="43"/>
    </row>
    <row r="44" spans="1:11" x14ac:dyDescent="0.2">
      <c r="A44" s="44" t="s">
        <v>53</v>
      </c>
      <c r="B44" s="44" t="s">
        <v>54</v>
      </c>
      <c r="C44" s="44"/>
      <c r="D44" s="44"/>
      <c r="E44" s="44"/>
      <c r="F44" s="44"/>
      <c r="G44" s="44"/>
      <c r="H44" s="44"/>
      <c r="I44" s="44"/>
    </row>
    <row r="45" spans="1:11" x14ac:dyDescent="0.2">
      <c r="A45" s="43" t="s">
        <v>55</v>
      </c>
      <c r="B45" s="43" t="s">
        <v>56</v>
      </c>
      <c r="C45" s="43"/>
      <c r="D45" s="43"/>
      <c r="E45" s="43"/>
      <c r="F45" s="43"/>
      <c r="G45" s="43"/>
      <c r="H45" s="43"/>
      <c r="I45" s="43"/>
    </row>
    <row r="46" spans="1:11" x14ac:dyDescent="0.2">
      <c r="A46" s="43" t="s">
        <v>57</v>
      </c>
      <c r="B46" s="43"/>
      <c r="C46" s="43" t="s">
        <v>58</v>
      </c>
      <c r="D46" s="43"/>
      <c r="E46" s="43"/>
      <c r="F46" s="3"/>
      <c r="G46" s="43" t="s">
        <v>3</v>
      </c>
      <c r="H46" s="50" t="str">
        <f>IF(F46="","",ROUND(F46/100*$H$5,2))</f>
        <v/>
      </c>
      <c r="I46" s="43" t="s">
        <v>4</v>
      </c>
      <c r="K46" s="46" t="str">
        <f>IF(F46="","Bitte ausfüllen!","")</f>
        <v>Bitte ausfüllen!</v>
      </c>
    </row>
    <row r="47" spans="1:11" x14ac:dyDescent="0.2">
      <c r="A47" s="43" t="s">
        <v>59</v>
      </c>
      <c r="B47" s="43"/>
      <c r="C47" s="43" t="s">
        <v>121</v>
      </c>
      <c r="D47" s="43"/>
      <c r="E47" s="43"/>
      <c r="F47" s="3"/>
      <c r="G47" s="43" t="s">
        <v>3</v>
      </c>
      <c r="H47" s="50" t="str">
        <f>IF(F47="","",ROUND(F47/100*$H$5,2))</f>
        <v/>
      </c>
      <c r="I47" s="43" t="s">
        <v>4</v>
      </c>
      <c r="K47" s="46" t="str">
        <f>IF(F47="","Bitte ausfüllen!","")</f>
        <v>Bitte ausfüllen!</v>
      </c>
    </row>
    <row r="48" spans="1:11" x14ac:dyDescent="0.2">
      <c r="A48" s="43" t="s">
        <v>60</v>
      </c>
      <c r="B48" s="43" t="s">
        <v>61</v>
      </c>
      <c r="C48" s="43"/>
      <c r="D48" s="43"/>
      <c r="E48" s="43"/>
      <c r="F48" s="3"/>
      <c r="G48" s="43" t="s">
        <v>3</v>
      </c>
      <c r="H48" s="50" t="str">
        <f>IF(F48="","",ROUND(F48/100*$H$5,2))</f>
        <v/>
      </c>
      <c r="I48" s="43" t="s">
        <v>4</v>
      </c>
      <c r="K48" s="46" t="str">
        <f>IF(F48="","Bitte ausfüllen!","")</f>
        <v>Bitte ausfüllen!</v>
      </c>
    </row>
    <row r="49" spans="1:11" x14ac:dyDescent="0.2">
      <c r="A49" s="43" t="s">
        <v>62</v>
      </c>
      <c r="B49" s="43" t="s">
        <v>63</v>
      </c>
      <c r="C49" s="43"/>
      <c r="D49" s="43"/>
      <c r="E49" s="43"/>
      <c r="F49" s="43"/>
      <c r="G49" s="43"/>
      <c r="H49" s="43"/>
      <c r="I49" s="43"/>
    </row>
    <row r="50" spans="1:11" x14ac:dyDescent="0.2">
      <c r="A50" s="43" t="s">
        <v>64</v>
      </c>
      <c r="B50" s="43"/>
      <c r="C50" s="43" t="s">
        <v>65</v>
      </c>
      <c r="D50" s="43"/>
      <c r="E50" s="43"/>
      <c r="F50" s="3"/>
      <c r="G50" s="43" t="s">
        <v>3</v>
      </c>
      <c r="H50" s="50" t="str">
        <f t="shared" ref="H50:H56" si="0">IF(F50="","",ROUND(F50/100*$H$5,2))</f>
        <v/>
      </c>
      <c r="I50" s="43" t="s">
        <v>4</v>
      </c>
      <c r="K50" s="46" t="str">
        <f t="shared" ref="K50:K56" si="1">IF(F50="","Bitte ausfüllen!","")</f>
        <v>Bitte ausfüllen!</v>
      </c>
    </row>
    <row r="51" spans="1:11" x14ac:dyDescent="0.2">
      <c r="A51" s="43" t="s">
        <v>66</v>
      </c>
      <c r="B51" s="43"/>
      <c r="C51" s="43" t="s">
        <v>67</v>
      </c>
      <c r="D51" s="43"/>
      <c r="E51" s="43"/>
      <c r="F51" s="3"/>
      <c r="G51" s="43" t="s">
        <v>3</v>
      </c>
      <c r="H51" s="50" t="str">
        <f t="shared" si="0"/>
        <v/>
      </c>
      <c r="I51" s="43" t="s">
        <v>4</v>
      </c>
      <c r="K51" s="46" t="str">
        <f t="shared" si="1"/>
        <v>Bitte ausfüllen!</v>
      </c>
    </row>
    <row r="52" spans="1:11" x14ac:dyDescent="0.2">
      <c r="A52" s="43" t="s">
        <v>68</v>
      </c>
      <c r="B52" s="43" t="s">
        <v>69</v>
      </c>
      <c r="C52" s="43"/>
      <c r="D52" s="43"/>
      <c r="E52" s="43"/>
      <c r="F52" s="3"/>
      <c r="G52" s="43" t="s">
        <v>3</v>
      </c>
      <c r="H52" s="50" t="str">
        <f t="shared" si="0"/>
        <v/>
      </c>
      <c r="I52" s="43" t="s">
        <v>4</v>
      </c>
      <c r="K52" s="46" t="str">
        <f t="shared" si="1"/>
        <v>Bitte ausfüllen!</v>
      </c>
    </row>
    <row r="53" spans="1:11" x14ac:dyDescent="0.2">
      <c r="A53" s="43" t="s">
        <v>70</v>
      </c>
      <c r="B53" s="43" t="s">
        <v>71</v>
      </c>
      <c r="C53" s="43"/>
      <c r="D53" s="43"/>
      <c r="E53" s="43"/>
      <c r="F53" s="3"/>
      <c r="G53" s="43" t="s">
        <v>3</v>
      </c>
      <c r="H53" s="50" t="str">
        <f t="shared" si="0"/>
        <v/>
      </c>
      <c r="I53" s="43" t="s">
        <v>4</v>
      </c>
      <c r="K53" s="46" t="str">
        <f t="shared" si="1"/>
        <v>Bitte ausfüllen!</v>
      </c>
    </row>
    <row r="54" spans="1:11" x14ac:dyDescent="0.2">
      <c r="A54" s="43" t="s">
        <v>72</v>
      </c>
      <c r="B54" s="43" t="s">
        <v>73</v>
      </c>
      <c r="C54" s="43"/>
      <c r="D54" s="43"/>
      <c r="E54" s="43"/>
      <c r="F54" s="3"/>
      <c r="G54" s="43" t="s">
        <v>3</v>
      </c>
      <c r="H54" s="50" t="str">
        <f t="shared" si="0"/>
        <v/>
      </c>
      <c r="I54" s="43" t="s">
        <v>4</v>
      </c>
      <c r="K54" s="46" t="str">
        <f t="shared" si="1"/>
        <v>Bitte ausfüllen!</v>
      </c>
    </row>
    <row r="55" spans="1:11" x14ac:dyDescent="0.2">
      <c r="A55" s="43" t="s">
        <v>74</v>
      </c>
      <c r="B55" s="43" t="s">
        <v>75</v>
      </c>
      <c r="C55" s="43"/>
      <c r="D55" s="43"/>
      <c r="E55" s="43"/>
      <c r="F55" s="3"/>
      <c r="G55" s="43" t="s">
        <v>3</v>
      </c>
      <c r="H55" s="50" t="str">
        <f t="shared" si="0"/>
        <v/>
      </c>
      <c r="I55" s="43" t="s">
        <v>4</v>
      </c>
      <c r="K55" s="46" t="str">
        <f t="shared" si="1"/>
        <v>Bitte ausfüllen!</v>
      </c>
    </row>
    <row r="56" spans="1:11" x14ac:dyDescent="0.2">
      <c r="A56" s="43" t="s">
        <v>76</v>
      </c>
      <c r="B56" s="43" t="s">
        <v>77</v>
      </c>
      <c r="C56" s="43"/>
      <c r="D56" s="43"/>
      <c r="E56" s="43"/>
      <c r="F56" s="3"/>
      <c r="G56" s="43" t="s">
        <v>3</v>
      </c>
      <c r="H56" s="50" t="str">
        <f t="shared" si="0"/>
        <v/>
      </c>
      <c r="I56" s="43" t="s">
        <v>4</v>
      </c>
      <c r="K56" s="46" t="str">
        <f t="shared" si="1"/>
        <v>Bitte ausfüllen!</v>
      </c>
    </row>
    <row r="57" spans="1:11" ht="25.5" customHeight="1" x14ac:dyDescent="0.2">
      <c r="A57" s="44"/>
      <c r="B57" s="149" t="s">
        <v>78</v>
      </c>
      <c r="C57" s="149"/>
      <c r="D57" s="44"/>
      <c r="E57" s="44"/>
      <c r="F57" s="51">
        <f>IF(SUM(F45:F56)=0,0,SUM(F45:F56))</f>
        <v>0</v>
      </c>
      <c r="G57" s="44" t="s">
        <v>3</v>
      </c>
      <c r="H57" s="52" t="str">
        <f>IF(COUNTIF(H46:H56,"")&gt;1,"",SUM(H46:H56))</f>
        <v/>
      </c>
      <c r="I57" s="44" t="s">
        <v>4</v>
      </c>
      <c r="K57" s="46" t="str">
        <f>IF(H57="","Angaben offen!","")</f>
        <v>Angaben offen!</v>
      </c>
    </row>
    <row r="58" spans="1:11" x14ac:dyDescent="0.2">
      <c r="A58" s="43"/>
      <c r="B58" s="43"/>
      <c r="C58" s="43"/>
      <c r="D58" s="43"/>
      <c r="E58" s="43"/>
      <c r="F58" s="47"/>
      <c r="G58" s="43"/>
      <c r="H58" s="47"/>
      <c r="I58" s="43"/>
    </row>
    <row r="59" spans="1:11" x14ac:dyDescent="0.2">
      <c r="A59" s="44" t="s">
        <v>79</v>
      </c>
      <c r="B59" s="148" t="s">
        <v>80</v>
      </c>
      <c r="C59" s="148"/>
      <c r="D59" s="44"/>
      <c r="E59" s="44"/>
      <c r="F59" s="56">
        <f>IF(AND(F34=""),0,F34+F42+F57+F5)</f>
        <v>100</v>
      </c>
      <c r="G59" s="44" t="s">
        <v>3</v>
      </c>
      <c r="H59" s="48" t="str">
        <f>IF(H57="","",H34+H42+H57+H5)</f>
        <v/>
      </c>
      <c r="I59" s="44" t="s">
        <v>4</v>
      </c>
    </row>
    <row r="60" spans="1:11" x14ac:dyDescent="0.2">
      <c r="A60" s="44" t="s">
        <v>81</v>
      </c>
      <c r="B60" s="44" t="s">
        <v>82</v>
      </c>
      <c r="C60" s="44"/>
      <c r="D60" s="44"/>
      <c r="E60" s="44"/>
      <c r="F60" s="3"/>
      <c r="G60" s="44" t="s">
        <v>3</v>
      </c>
      <c r="H60" s="52" t="str">
        <f>IF(F60="","",ROUND(F60/100*H59,2))</f>
        <v/>
      </c>
      <c r="I60" s="44" t="s">
        <v>4</v>
      </c>
      <c r="K60" s="46" t="str">
        <f>IF(F60="","Bitte ausfüllen!","")</f>
        <v>Bitte ausfüllen!</v>
      </c>
    </row>
    <row r="61" spans="1:11" x14ac:dyDescent="0.2">
      <c r="A61" s="44"/>
      <c r="B61" s="44" t="s">
        <v>83</v>
      </c>
      <c r="C61" s="44"/>
      <c r="D61" s="44"/>
      <c r="E61" s="44"/>
      <c r="F61" s="51">
        <f ca="1">IF(H61="",0,H61/H5*100)</f>
        <v>0</v>
      </c>
      <c r="G61" s="44" t="s">
        <v>3</v>
      </c>
      <c r="H61" s="52" t="str">
        <f ca="1">IF(SUM(COUNTIF(INDIRECT({"H5","F9:F13","D17:D26","F27:F28","F32:F33","F38:F41","F46:F48","F50:F56","F60","H65:H68"}),""))&gt;0,"",H59+H60)</f>
        <v/>
      </c>
      <c r="I61" s="44" t="s">
        <v>4</v>
      </c>
      <c r="K61" s="46" t="str">
        <f ca="1">IF(SUM(COUNTIF(INDIRECT({"H5","F9:F13","D17:D26","F27:F28","F32:F33","F38:F41","F46:F48","F50:F56","F60","H65:H68"}),""))&gt;0,SUM(COUNTIF(INDIRECT({"H5","F9:F13","D17:D26","F27:F28","F32:F33","F38:F41","F46:F48","F50:F56","F60","H65:H68"}),"")) &amp;" Zelle(n) ohne Wert!","")</f>
        <v>28 Zelle(n) ohne Wert!</v>
      </c>
    </row>
    <row r="62" spans="1:11" x14ac:dyDescent="0.2">
      <c r="A62" s="43"/>
      <c r="B62" s="43" t="s">
        <v>84</v>
      </c>
      <c r="C62" s="43"/>
      <c r="D62" s="43"/>
      <c r="E62" s="43"/>
      <c r="F62" s="51">
        <f ca="1">IF(F61=0,0,F61-F5)</f>
        <v>0</v>
      </c>
      <c r="G62" s="43" t="s">
        <v>3</v>
      </c>
      <c r="H62" s="43"/>
      <c r="I62" s="43"/>
      <c r="K62" s="46" t="str">
        <f ca="1">IF(F62&lt;70,"Bitte prüfen gemäß Aufforderung!","")</f>
        <v>Bitte prüfen gemäß Aufforderung!</v>
      </c>
    </row>
    <row r="63" spans="1:11" x14ac:dyDescent="0.2">
      <c r="A63" s="43"/>
      <c r="B63" s="43"/>
      <c r="C63" s="43"/>
      <c r="D63" s="43"/>
      <c r="E63" s="43"/>
      <c r="F63" s="43"/>
      <c r="G63" s="43"/>
      <c r="H63" s="43"/>
      <c r="I63" s="43"/>
    </row>
    <row r="64" spans="1:11" x14ac:dyDescent="0.2">
      <c r="B64" s="44" t="s">
        <v>85</v>
      </c>
      <c r="D64" s="44"/>
      <c r="E64" s="44"/>
      <c r="G64" s="44"/>
      <c r="H64" s="48" t="s">
        <v>86</v>
      </c>
    </row>
    <row r="65" spans="1:11" x14ac:dyDescent="0.2">
      <c r="B65" s="43" t="s">
        <v>87</v>
      </c>
      <c r="D65" s="43"/>
      <c r="E65" s="43"/>
      <c r="G65" s="57"/>
      <c r="H65" s="4"/>
      <c r="K65" s="46" t="str">
        <f>IF(H65="","Bitte ausfüllen!","")</f>
        <v>Bitte ausfüllen!</v>
      </c>
    </row>
    <row r="66" spans="1:11" x14ac:dyDescent="0.2">
      <c r="B66" s="43" t="s">
        <v>88</v>
      </c>
      <c r="D66" s="43"/>
      <c r="E66" s="43"/>
      <c r="G66" s="57"/>
      <c r="H66" s="5"/>
      <c r="K66" s="46" t="str">
        <f>IF(H66="","Bitte ausfüllen!","")</f>
        <v>Bitte ausfüllen!</v>
      </c>
    </row>
    <row r="67" spans="1:11" x14ac:dyDescent="0.2">
      <c r="B67" s="43" t="s">
        <v>89</v>
      </c>
      <c r="D67" s="43"/>
      <c r="E67" s="43"/>
      <c r="G67" s="57"/>
      <c r="H67" s="6"/>
      <c r="K67" s="46" t="str">
        <f>IF(H67="","Bitte ausfüllen!","")</f>
        <v>Bitte ausfüllen!</v>
      </c>
    </row>
    <row r="68" spans="1:11" x14ac:dyDescent="0.2">
      <c r="B68" s="43" t="s">
        <v>90</v>
      </c>
      <c r="D68" s="43"/>
      <c r="E68" s="43"/>
      <c r="G68" s="57"/>
      <c r="H68" s="5"/>
      <c r="K68" s="46" t="str">
        <f>IF(H68="","Bitte ausfüllen!","")</f>
        <v>Bitte ausfüllen!</v>
      </c>
    </row>
    <row r="70" spans="1:11" x14ac:dyDescent="0.2">
      <c r="C70" s="19"/>
      <c r="D70" s="15"/>
    </row>
    <row r="71" spans="1:11" ht="15.95" customHeight="1" x14ac:dyDescent="0.2">
      <c r="A71" s="139" t="s">
        <v>209</v>
      </c>
      <c r="B71" s="139"/>
      <c r="C71" s="139"/>
      <c r="D71" s="139" t="s">
        <v>212</v>
      </c>
      <c r="F71" s="141" t="s">
        <v>134</v>
      </c>
      <c r="G71" s="142"/>
      <c r="H71" s="143"/>
    </row>
    <row r="72" spans="1:11" ht="15.95" customHeight="1" x14ac:dyDescent="0.2">
      <c r="A72" s="140"/>
      <c r="B72" s="140"/>
      <c r="C72" s="140"/>
      <c r="D72" s="140"/>
      <c r="F72" s="144"/>
      <c r="G72" s="145"/>
      <c r="H72" s="146"/>
      <c r="I72" s="44"/>
      <c r="J72" s="44"/>
      <c r="K72" s="44"/>
    </row>
    <row r="73" spans="1:11" ht="19.899999999999999" customHeight="1" x14ac:dyDescent="0.2">
      <c r="A73" s="137">
        <v>1</v>
      </c>
      <c r="B73" s="137"/>
      <c r="C73" s="60" t="s">
        <v>129</v>
      </c>
      <c r="D73" s="61">
        <v>7.3</v>
      </c>
      <c r="F73" s="138" t="s">
        <v>399</v>
      </c>
      <c r="G73" s="138"/>
      <c r="H73" s="138"/>
    </row>
    <row r="74" spans="1:11" ht="19.899999999999999" customHeight="1" x14ac:dyDescent="0.2">
      <c r="A74" s="137">
        <v>2</v>
      </c>
      <c r="B74" s="137"/>
      <c r="C74" s="60" t="s">
        <v>130</v>
      </c>
      <c r="D74" s="61">
        <v>9.3000000000000007</v>
      </c>
    </row>
    <row r="75" spans="1:11" ht="24" customHeight="1" x14ac:dyDescent="0.2">
      <c r="A75" s="137">
        <v>3</v>
      </c>
      <c r="B75" s="137"/>
      <c r="C75" s="60" t="s">
        <v>131</v>
      </c>
      <c r="D75" s="61">
        <v>1.3</v>
      </c>
    </row>
    <row r="76" spans="1:11" ht="24" customHeight="1" x14ac:dyDescent="0.2">
      <c r="A76" s="137">
        <v>4</v>
      </c>
      <c r="B76" s="137"/>
      <c r="C76" s="60" t="s">
        <v>132</v>
      </c>
      <c r="D76" s="61">
        <f>IF( F73="Sachsen",1.3,1.8)</f>
        <v>1.8</v>
      </c>
    </row>
    <row r="77" spans="1:11" ht="31.5" x14ac:dyDescent="0.2">
      <c r="A77" s="137">
        <v>5</v>
      </c>
      <c r="B77" s="137"/>
      <c r="C77" s="60" t="s">
        <v>213</v>
      </c>
      <c r="D77" s="61">
        <v>1.45</v>
      </c>
    </row>
    <row r="78" spans="1:11" ht="24" customHeight="1" x14ac:dyDescent="0.2">
      <c r="A78" s="137">
        <v>6</v>
      </c>
      <c r="B78" s="137"/>
      <c r="C78" s="60" t="s">
        <v>119</v>
      </c>
      <c r="D78" s="61"/>
    </row>
    <row r="79" spans="1:11" ht="24" customHeight="1" x14ac:dyDescent="0.2">
      <c r="A79" s="137">
        <v>7</v>
      </c>
      <c r="B79" s="137"/>
      <c r="C79" s="60" t="s">
        <v>133</v>
      </c>
      <c r="D79" s="61">
        <v>0.15</v>
      </c>
    </row>
  </sheetData>
  <sheetProtection algorithmName="SHA-512" hashValue="5mM3J9SxLxQaNvUdB0M0zyc1QPkRGEIZiVYyMrVC7lcTR3XIWKg+wHR4gfJtsiibmMrfYvIdHPlXiHSXcBCzlQ==" saltValue="ViqjkV+xVxKVgHJADWJhbA==" spinCount="100000" sheet="1" objects="1" scenarios="1"/>
  <mergeCells count="18">
    <mergeCell ref="A71:C72"/>
    <mergeCell ref="D71:D72"/>
    <mergeCell ref="F71:H72"/>
    <mergeCell ref="E1:I2"/>
    <mergeCell ref="A3:I3"/>
    <mergeCell ref="B59:C59"/>
    <mergeCell ref="B29:C29"/>
    <mergeCell ref="B34:C34"/>
    <mergeCell ref="B42:C42"/>
    <mergeCell ref="B57:C57"/>
    <mergeCell ref="A78:B78"/>
    <mergeCell ref="A79:B79"/>
    <mergeCell ref="F73:H73"/>
    <mergeCell ref="A73:B73"/>
    <mergeCell ref="A74:B74"/>
    <mergeCell ref="A75:B75"/>
    <mergeCell ref="A76:B76"/>
    <mergeCell ref="A77:B77"/>
  </mergeCells>
  <phoneticPr fontId="3" type="noConversion"/>
  <dataValidations count="1">
    <dataValidation type="decimal" errorStyle="warning" allowBlank="1" showInputMessage="1" showErrorMessage="1" error="Bitte überprüfen Sie Ihre Eingaben." sqref="C25" xr:uid="{00000000-0002-0000-0400-000000000000}">
      <formula1>8.5</formula1>
      <formula2>84</formula2>
    </dataValidation>
  </dataValidations>
  <hyperlinks>
    <hyperlink ref="K1" location="Inhaltsverzeichnis!A1" display="Zurück zum Inhaltsverzeichnis" xr:uid="{00000000-0004-0000-0400-000000000000}"/>
  </hyperlinks>
  <printOptions horizontalCentered="1"/>
  <pageMargins left="0.78740157480314965" right="0.78740157480314965" top="0.98425196850393704" bottom="0.98425196850393704" header="0.51181102362204722" footer="0.51181102362204722"/>
  <pageSetup paperSize="9" scale="60" fitToWidth="0" fitToHeight="0" orientation="portrait" r:id="rId1"/>
  <headerFooter alignWithMargins="0">
    <oddHeader>&amp;L&amp;F</oddHeader>
    <oddFooter>&amp;LStadt Königs Wusterhausen&amp;CSeite &amp;P von &amp;N&amp;RSVS GrundRG</oddFooter>
  </headerFooter>
  <rowBreaks count="1" manualBreakCount="1">
    <brk id="79" max="16383"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ltText="Hinweis">
                <anchor moveWithCells="1">
                  <from>
                    <xdr:col>2</xdr:col>
                    <xdr:colOff>2914650</xdr:colOff>
                    <xdr:row>0</xdr:row>
                    <xdr:rowOff>95250</xdr:rowOff>
                  </from>
                  <to>
                    <xdr:col>3</xdr:col>
                    <xdr:colOff>552450</xdr:colOff>
                    <xdr:row>0</xdr:row>
                    <xdr:rowOff>381000</xdr:rowOff>
                  </to>
                </anchor>
              </controlPr>
            </control>
          </mc:Choice>
        </mc:AlternateContent>
        <mc:AlternateContent xmlns:mc="http://schemas.openxmlformats.org/markup-compatibility/2006">
          <mc:Choice Requires="x14">
            <control shapeId="27650" r:id="rId5" name="Check Box 2">
              <controlPr defaultSize="0" autoFill="0" autoLine="0" autoPict="0" altText="Hinweis">
                <anchor moveWithCells="1">
                  <from>
                    <xdr:col>2</xdr:col>
                    <xdr:colOff>2914650</xdr:colOff>
                    <xdr:row>0</xdr:row>
                    <xdr:rowOff>400050</xdr:rowOff>
                  </from>
                  <to>
                    <xdr:col>3</xdr:col>
                    <xdr:colOff>552450</xdr:colOff>
                    <xdr:row>1</xdr:row>
                    <xdr:rowOff>257175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indexed="13"/>
  </sheetPr>
  <dimension ref="A1:K79"/>
  <sheetViews>
    <sheetView showGridLines="0" zoomScaleNormal="100" workbookViewId="0"/>
  </sheetViews>
  <sheetFormatPr baseColWidth="10" defaultColWidth="11.42578125" defaultRowHeight="10.5" x14ac:dyDescent="0.2"/>
  <cols>
    <col min="1" max="1" width="6.42578125" style="16" customWidth="1"/>
    <col min="2" max="2" width="2.7109375" style="16" customWidth="1"/>
    <col min="3" max="3" width="45.5703125" style="16" customWidth="1"/>
    <col min="4" max="4" width="8.5703125" style="16" customWidth="1"/>
    <col min="5" max="5" width="2.5703125" style="16" customWidth="1"/>
    <col min="6" max="6" width="11.42578125" style="16"/>
    <col min="7" max="7" width="2.85546875" style="16" customWidth="1"/>
    <col min="8" max="8" width="11.42578125" style="16"/>
    <col min="9" max="9" width="2.7109375" style="16" bestFit="1" customWidth="1"/>
    <col min="10" max="10" width="1.28515625" style="16" customWidth="1"/>
    <col min="11" max="11" width="18.28515625" style="16" bestFit="1" customWidth="1"/>
    <col min="12" max="16384" width="11.42578125" style="16"/>
  </cols>
  <sheetData>
    <row r="1" spans="1:11" ht="34.15" customHeight="1" x14ac:dyDescent="0.2">
      <c r="A1" s="64" t="str">
        <f ca="1">IF(H61&lt;&gt;"","","Bitte alle gelben Zellen ausfüllen.")</f>
        <v>Bitte alle gelben Zellen ausfüllen.</v>
      </c>
      <c r="D1" s="8" t="b">
        <v>0</v>
      </c>
      <c r="E1" s="129"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129"/>
      <c r="G1" s="129"/>
      <c r="H1" s="129"/>
      <c r="I1" s="129"/>
      <c r="K1" s="1" t="s">
        <v>100</v>
      </c>
    </row>
    <row r="2" spans="1:11" ht="29.25" customHeight="1" x14ac:dyDescent="0.2">
      <c r="A2" s="16" t="s">
        <v>103</v>
      </c>
      <c r="C2" s="15" t="str">
        <f>IF(Inhaltsverzeichnis!$C$3="", "",Inhaltsverzeichnis!$C$3)</f>
        <v/>
      </c>
      <c r="D2" s="8" t="b">
        <v>0</v>
      </c>
      <c r="E2" s="129"/>
      <c r="F2" s="129"/>
      <c r="G2" s="129"/>
      <c r="H2" s="129"/>
      <c r="I2" s="129"/>
    </row>
    <row r="3" spans="1:11" s="42" customFormat="1" ht="12.75" x14ac:dyDescent="0.2">
      <c r="A3" s="147" t="s">
        <v>104</v>
      </c>
      <c r="B3" s="147"/>
      <c r="C3" s="147"/>
      <c r="D3" s="147"/>
      <c r="E3" s="147"/>
      <c r="F3" s="147"/>
      <c r="G3" s="147"/>
      <c r="H3" s="147"/>
      <c r="I3" s="147"/>
    </row>
    <row r="4" spans="1:11" x14ac:dyDescent="0.2">
      <c r="A4" s="43"/>
      <c r="B4" s="43"/>
      <c r="C4" s="43"/>
      <c r="D4" s="43"/>
      <c r="E4" s="43"/>
      <c r="F4" s="43"/>
      <c r="G4" s="43"/>
      <c r="H4" s="43"/>
      <c r="I4" s="43"/>
    </row>
    <row r="5" spans="1:11" ht="15" customHeight="1" x14ac:dyDescent="0.2">
      <c r="A5" s="44" t="s">
        <v>1</v>
      </c>
      <c r="B5" s="44" t="s">
        <v>2</v>
      </c>
      <c r="C5" s="44"/>
      <c r="D5" s="44"/>
      <c r="E5" s="44"/>
      <c r="F5" s="45">
        <v>100</v>
      </c>
      <c r="G5" s="44" t="s">
        <v>3</v>
      </c>
      <c r="H5" s="2">
        <v>18.399999999999999</v>
      </c>
      <c r="I5" s="44" t="s">
        <v>4</v>
      </c>
      <c r="K5" s="46" t="str">
        <f ca="1">IF(H5="","Bitte ausfüllen!",IF(H61="","Der voreingetragene produktive Stundenlohn ist eine Mindestanforderung. Inhalt der gelben Zellen kann angepasst werden.",""))</f>
        <v>Der voreingetragene produktive Stundenlohn ist eine Mindestanforderung. Inhalt der gelben Zellen kann angepasst werden.</v>
      </c>
    </row>
    <row r="6" spans="1:11" x14ac:dyDescent="0.2">
      <c r="A6" s="43"/>
      <c r="B6" s="43"/>
      <c r="C6" s="43"/>
      <c r="D6" s="43"/>
      <c r="E6" s="43"/>
      <c r="F6" s="47"/>
      <c r="G6" s="43"/>
      <c r="H6" s="47"/>
      <c r="I6" s="43"/>
    </row>
    <row r="7" spans="1:11" x14ac:dyDescent="0.2">
      <c r="A7" s="44" t="s">
        <v>5</v>
      </c>
      <c r="B7" s="44" t="s">
        <v>6</v>
      </c>
      <c r="C7" s="44"/>
      <c r="D7" s="44"/>
      <c r="E7" s="44"/>
      <c r="F7" s="48"/>
      <c r="G7" s="44"/>
      <c r="H7" s="48"/>
      <c r="I7" s="44"/>
    </row>
    <row r="8" spans="1:11" ht="14.25" x14ac:dyDescent="0.2">
      <c r="A8" s="43" t="s">
        <v>7</v>
      </c>
      <c r="B8" s="43" t="s">
        <v>8</v>
      </c>
      <c r="C8" s="43"/>
      <c r="D8" s="43"/>
      <c r="E8" s="43"/>
      <c r="F8" s="48"/>
      <c r="G8" s="48"/>
      <c r="H8" s="48"/>
      <c r="I8" s="48"/>
      <c r="K8" s="49"/>
    </row>
    <row r="9" spans="1:11" x14ac:dyDescent="0.2">
      <c r="A9" s="43" t="s">
        <v>9</v>
      </c>
      <c r="B9" s="43"/>
      <c r="C9" s="43" t="s">
        <v>10</v>
      </c>
      <c r="D9" s="43"/>
      <c r="E9" s="43"/>
      <c r="F9" s="3"/>
      <c r="G9" s="43" t="s">
        <v>3</v>
      </c>
      <c r="H9" s="50" t="str">
        <f>IF(F9="","",ROUND(F9/100*$H$5,2))</f>
        <v/>
      </c>
      <c r="I9" s="43" t="s">
        <v>4</v>
      </c>
      <c r="K9" s="46" t="str">
        <f>IF(F9="","Bitte ausfüllen!","")</f>
        <v>Bitte ausfüllen!</v>
      </c>
    </row>
    <row r="10" spans="1:11" x14ac:dyDescent="0.2">
      <c r="A10" s="43" t="s">
        <v>11</v>
      </c>
      <c r="B10" s="43"/>
      <c r="C10" s="43" t="s">
        <v>12</v>
      </c>
      <c r="D10" s="43"/>
      <c r="E10" s="43"/>
      <c r="F10" s="3"/>
      <c r="G10" s="43" t="s">
        <v>3</v>
      </c>
      <c r="H10" s="50" t="str">
        <f>IF(F10="","",ROUND(F10/100*$H$5,2))</f>
        <v/>
      </c>
      <c r="I10" s="43" t="s">
        <v>4</v>
      </c>
      <c r="K10" s="46" t="str">
        <f>IF(F10="","Bitte ausfüllen!","")</f>
        <v>Bitte ausfüllen!</v>
      </c>
    </row>
    <row r="11" spans="1:11" x14ac:dyDescent="0.2">
      <c r="A11" s="43" t="s">
        <v>13</v>
      </c>
      <c r="B11" s="43"/>
      <c r="C11" s="43" t="s">
        <v>14</v>
      </c>
      <c r="D11" s="43"/>
      <c r="E11" s="43"/>
      <c r="F11" s="3"/>
      <c r="G11" s="43" t="s">
        <v>3</v>
      </c>
      <c r="H11" s="50" t="str">
        <f>IF(F11="","",ROUND(F11/100*$H$5,2))</f>
        <v/>
      </c>
      <c r="I11" s="43" t="s">
        <v>4</v>
      </c>
      <c r="K11" s="46" t="str">
        <f>IF(F11="","Bitte ausfüllen!","")</f>
        <v>Bitte ausfüllen!</v>
      </c>
    </row>
    <row r="12" spans="1:11" x14ac:dyDescent="0.2">
      <c r="A12" s="43" t="s">
        <v>15</v>
      </c>
      <c r="B12" s="43"/>
      <c r="C12" s="43" t="s">
        <v>16</v>
      </c>
      <c r="D12" s="43"/>
      <c r="E12" s="43"/>
      <c r="F12" s="3"/>
      <c r="G12" s="43" t="s">
        <v>3</v>
      </c>
      <c r="H12" s="50" t="str">
        <f>IF(F12="","",ROUND(F12/100*$H$5,2))</f>
        <v/>
      </c>
      <c r="I12" s="43" t="s">
        <v>4</v>
      </c>
      <c r="K12" s="46" t="str">
        <f>IF(F12="","Bitte ausfüllen!","")</f>
        <v>Bitte ausfüllen!</v>
      </c>
    </row>
    <row r="13" spans="1:11" x14ac:dyDescent="0.2">
      <c r="A13" s="43" t="s">
        <v>17</v>
      </c>
      <c r="B13" s="43"/>
      <c r="C13" s="43" t="s">
        <v>18</v>
      </c>
      <c r="D13" s="43"/>
      <c r="E13" s="43"/>
      <c r="F13" s="3"/>
      <c r="G13" s="43" t="s">
        <v>3</v>
      </c>
      <c r="H13" s="50" t="str">
        <f>IF(F13="","",ROUND(F13/100*$H$5,2))</f>
        <v/>
      </c>
      <c r="I13" s="43" t="s">
        <v>4</v>
      </c>
      <c r="K13" s="46" t="str">
        <f>IF(F13="","Bitte ausfüllen!","")</f>
        <v>Bitte ausfüllen!</v>
      </c>
    </row>
    <row r="14" spans="1:11" x14ac:dyDescent="0.2">
      <c r="A14" s="44"/>
      <c r="B14" s="44" t="s">
        <v>19</v>
      </c>
      <c r="C14" s="44"/>
      <c r="D14" s="44"/>
      <c r="E14" s="44"/>
      <c r="F14" s="51">
        <f>IF(SUM(F9:F13)=0,0,SUM(F9:F13))</f>
        <v>0</v>
      </c>
      <c r="G14" s="44" t="s">
        <v>3</v>
      </c>
      <c r="H14" s="52" t="str">
        <f>IF(COUNTIF(F9:F13,"")&gt;0,"",SUM(H8:H13))</f>
        <v/>
      </c>
      <c r="I14" s="44" t="s">
        <v>4</v>
      </c>
      <c r="K14" s="46" t="str">
        <f>IF(H14="","Angaben offen!","")</f>
        <v>Angaben offen!</v>
      </c>
    </row>
    <row r="15" spans="1:11" x14ac:dyDescent="0.2">
      <c r="A15" s="43"/>
      <c r="B15" s="43"/>
      <c r="C15" s="43"/>
      <c r="D15" s="43"/>
      <c r="E15" s="43"/>
      <c r="F15" s="47"/>
      <c r="G15" s="43"/>
      <c r="H15" s="47"/>
      <c r="I15" s="43"/>
    </row>
    <row r="16" spans="1:11" x14ac:dyDescent="0.2">
      <c r="A16" s="44" t="s">
        <v>20</v>
      </c>
      <c r="B16" s="44" t="s">
        <v>21</v>
      </c>
      <c r="C16" s="44"/>
      <c r="D16" s="44"/>
      <c r="E16" s="44"/>
      <c r="F16" s="48"/>
      <c r="G16" s="44"/>
      <c r="H16" s="48"/>
      <c r="I16" s="44"/>
    </row>
    <row r="17" spans="1:11" ht="11.25" x14ac:dyDescent="0.2">
      <c r="A17" s="43" t="s">
        <v>22</v>
      </c>
      <c r="B17" s="43" t="s">
        <v>122</v>
      </c>
      <c r="C17" s="43"/>
      <c r="D17" s="3">
        <f>D73+D77</f>
        <v>8.75</v>
      </c>
      <c r="E17" s="43" t="s">
        <v>3</v>
      </c>
      <c r="F17" s="47"/>
      <c r="G17" s="43"/>
      <c r="H17" s="47"/>
      <c r="I17" s="43"/>
      <c r="K17" s="46" t="str">
        <f ca="1">IF(D17&lt;(D73+D77),"Wert prüfen!",IF(H61="","Inhalt der gelben Zellen kann angepasst werden.",""))</f>
        <v>Inhalt der gelben Zellen kann angepasst werden.</v>
      </c>
    </row>
    <row r="18" spans="1:11" x14ac:dyDescent="0.2">
      <c r="A18" s="43"/>
      <c r="B18" s="43" t="s">
        <v>23</v>
      </c>
      <c r="C18" s="43"/>
      <c r="D18" s="53">
        <f>(D17/100)*$F$14</f>
        <v>0</v>
      </c>
      <c r="E18" s="43" t="s">
        <v>3</v>
      </c>
      <c r="F18" s="54">
        <f>IF(D18="","",D17+D18)</f>
        <v>8.75</v>
      </c>
      <c r="G18" s="43" t="s">
        <v>3</v>
      </c>
      <c r="H18" s="50">
        <f>IF(D18="","",ROUND(F18/100*$H$5,2))</f>
        <v>1.61</v>
      </c>
      <c r="I18" s="43" t="s">
        <v>4</v>
      </c>
      <c r="K18" s="46"/>
    </row>
    <row r="19" spans="1:11" ht="11.25" x14ac:dyDescent="0.2">
      <c r="A19" s="43" t="s">
        <v>24</v>
      </c>
      <c r="B19" s="43" t="s">
        <v>123</v>
      </c>
      <c r="C19" s="43"/>
      <c r="D19" s="3">
        <f>D74</f>
        <v>9.3000000000000007</v>
      </c>
      <c r="E19" s="43" t="s">
        <v>3</v>
      </c>
      <c r="F19" s="55"/>
      <c r="G19" s="43"/>
      <c r="H19" s="47"/>
      <c r="I19" s="43"/>
      <c r="K19" s="46" t="str">
        <f ca="1">IF(D19&lt;&gt;D74,"Wert prüfen!",IF(H61="","Inhalt der gelben Zellen kann angepasst werden.",""))</f>
        <v>Inhalt der gelben Zellen kann angepasst werden.</v>
      </c>
    </row>
    <row r="20" spans="1:11" x14ac:dyDescent="0.2">
      <c r="A20" s="43"/>
      <c r="B20" s="43" t="s">
        <v>25</v>
      </c>
      <c r="C20" s="43"/>
      <c r="D20" s="53">
        <f>(D19/100)*$F$14</f>
        <v>0</v>
      </c>
      <c r="E20" s="43" t="s">
        <v>3</v>
      </c>
      <c r="F20" s="54">
        <f>IF(D20="","",D19+D20)</f>
        <v>9.3000000000000007</v>
      </c>
      <c r="G20" s="43" t="s">
        <v>3</v>
      </c>
      <c r="H20" s="50">
        <f>IF(D20="","",ROUND(F20/100*$H$5,2))</f>
        <v>1.71</v>
      </c>
      <c r="I20" s="43" t="s">
        <v>4</v>
      </c>
      <c r="K20" s="46"/>
    </row>
    <row r="21" spans="1:11" ht="11.25" x14ac:dyDescent="0.2">
      <c r="A21" s="43" t="s">
        <v>26</v>
      </c>
      <c r="B21" s="43" t="s">
        <v>124</v>
      </c>
      <c r="C21" s="43"/>
      <c r="D21" s="3">
        <f>D75</f>
        <v>1.3</v>
      </c>
      <c r="E21" s="43" t="s">
        <v>3</v>
      </c>
      <c r="F21" s="55"/>
      <c r="G21" s="43"/>
      <c r="H21" s="47"/>
      <c r="I21" s="43"/>
      <c r="K21" s="46" t="str">
        <f ca="1">IF(D21&lt;&gt;D75,"Wert prüfen!",IF(H61="","Inhalt der gelben Zellen kann angepasst werden.",""))</f>
        <v>Inhalt der gelben Zellen kann angepasst werden.</v>
      </c>
    </row>
    <row r="22" spans="1:11" x14ac:dyDescent="0.2">
      <c r="A22" s="43"/>
      <c r="B22" s="43" t="s">
        <v>27</v>
      </c>
      <c r="C22" s="43"/>
      <c r="D22" s="53">
        <f>(D21/100)*$F$14</f>
        <v>0</v>
      </c>
      <c r="E22" s="43" t="s">
        <v>3</v>
      </c>
      <c r="F22" s="54">
        <f>IF(D22="","",D21+D22)</f>
        <v>1.3</v>
      </c>
      <c r="G22" s="43" t="s">
        <v>3</v>
      </c>
      <c r="H22" s="50">
        <f>IF(D22="","",ROUND(F22/100*$H$5,2))</f>
        <v>0.24</v>
      </c>
      <c r="I22" s="43" t="s">
        <v>4</v>
      </c>
      <c r="K22" s="46"/>
    </row>
    <row r="23" spans="1:11" ht="11.25" x14ac:dyDescent="0.2">
      <c r="A23" s="43" t="s">
        <v>28</v>
      </c>
      <c r="B23" s="43" t="s">
        <v>125</v>
      </c>
      <c r="C23" s="43"/>
      <c r="D23" s="3">
        <f>D76</f>
        <v>1.8</v>
      </c>
      <c r="E23" s="43" t="s">
        <v>3</v>
      </c>
      <c r="F23" s="55"/>
      <c r="G23" s="43"/>
      <c r="H23" s="47"/>
      <c r="I23" s="43"/>
      <c r="K23" s="46" t="str">
        <f ca="1">IF(D23&lt;&gt;D76,"Wert prüfen!",IF(H61="","Inhalt der gelben Zellen kann angepasst werden.",""))</f>
        <v>Inhalt der gelben Zellen kann angepasst werden.</v>
      </c>
    </row>
    <row r="24" spans="1:11" x14ac:dyDescent="0.2">
      <c r="A24" s="43"/>
      <c r="B24" s="43" t="s">
        <v>29</v>
      </c>
      <c r="C24" s="43"/>
      <c r="D24" s="53">
        <f>(D23/100)*$F$14</f>
        <v>0</v>
      </c>
      <c r="E24" s="43" t="s">
        <v>3</v>
      </c>
      <c r="F24" s="54">
        <f>IF(D24="","",D23+D24)</f>
        <v>1.8</v>
      </c>
      <c r="G24" s="43" t="s">
        <v>3</v>
      </c>
      <c r="H24" s="50">
        <f>IF(D24="","",ROUND(F24/100*$H$5,2))</f>
        <v>0.33</v>
      </c>
      <c r="I24" s="43" t="s">
        <v>4</v>
      </c>
      <c r="K24" s="46"/>
    </row>
    <row r="25" spans="1:11" ht="11.25" x14ac:dyDescent="0.2">
      <c r="A25" s="43" t="s">
        <v>30</v>
      </c>
      <c r="B25" s="43" t="s">
        <v>126</v>
      </c>
      <c r="C25" s="43"/>
      <c r="D25" s="3"/>
      <c r="E25" s="43" t="s">
        <v>3</v>
      </c>
      <c r="F25" s="55"/>
      <c r="G25" s="43"/>
      <c r="H25" s="47"/>
      <c r="I25" s="43"/>
      <c r="K25" s="46" t="str">
        <f>IF(D25="","Bitte ausfüllen!","")</f>
        <v>Bitte ausfüllen!</v>
      </c>
    </row>
    <row r="26" spans="1:11" x14ac:dyDescent="0.2">
      <c r="A26" s="43"/>
      <c r="B26" s="43" t="s">
        <v>31</v>
      </c>
      <c r="C26" s="43"/>
      <c r="D26" s="53">
        <f>(D25/100)*$F$14</f>
        <v>0</v>
      </c>
      <c r="E26" s="43" t="s">
        <v>3</v>
      </c>
      <c r="F26" s="54">
        <f>IF(D26="","",D25+D26)</f>
        <v>0</v>
      </c>
      <c r="G26" s="43" t="s">
        <v>3</v>
      </c>
      <c r="H26" s="50">
        <f>IF(D26="","",ROUND(F26/100*$H$5,2))</f>
        <v>0</v>
      </c>
      <c r="I26" s="43" t="s">
        <v>4</v>
      </c>
      <c r="K26" s="46"/>
    </row>
    <row r="27" spans="1:11" ht="11.25" x14ac:dyDescent="0.2">
      <c r="A27" s="43" t="s">
        <v>32</v>
      </c>
      <c r="B27" s="43" t="s">
        <v>127</v>
      </c>
      <c r="C27" s="43"/>
      <c r="D27" s="43"/>
      <c r="E27" s="43"/>
      <c r="F27" s="3"/>
      <c r="G27" s="43" t="s">
        <v>3</v>
      </c>
      <c r="H27" s="50" t="str">
        <f>IF(F27="","",ROUND(F27/100*$H$5,2))</f>
        <v/>
      </c>
      <c r="I27" s="43" t="s">
        <v>4</v>
      </c>
      <c r="K27" s="46" t="str">
        <f>IF(F27="","Bitte ausfüllen!","")</f>
        <v>Bitte ausfüllen!</v>
      </c>
    </row>
    <row r="28" spans="1:11" ht="11.25" x14ac:dyDescent="0.2">
      <c r="A28" s="43" t="s">
        <v>33</v>
      </c>
      <c r="B28" s="43" t="s">
        <v>128</v>
      </c>
      <c r="C28" s="43"/>
      <c r="D28" s="43"/>
      <c r="E28" s="43"/>
      <c r="F28" s="3">
        <f>D79</f>
        <v>0.15</v>
      </c>
      <c r="G28" s="43" t="s">
        <v>3</v>
      </c>
      <c r="H28" s="50">
        <f>IF(F28="","",ROUND(F28/100*$H$5,2))</f>
        <v>0.03</v>
      </c>
      <c r="I28" s="43" t="s">
        <v>4</v>
      </c>
      <c r="K28" s="46" t="str">
        <f ca="1">IF(F28&lt;&gt;D79,"Wert prüfen!",IF(H61="","Inhalt der gelben Zellen kann angepasst werden.",""))</f>
        <v>Inhalt der gelben Zellen kann angepasst werden.</v>
      </c>
    </row>
    <row r="29" spans="1:11" ht="25.5" customHeight="1" x14ac:dyDescent="0.2">
      <c r="A29" s="44"/>
      <c r="B29" s="149" t="s">
        <v>34</v>
      </c>
      <c r="C29" s="149"/>
      <c r="D29" s="44"/>
      <c r="E29" s="44"/>
      <c r="F29" s="51">
        <f>IF(SUM(F17:F28)=0,0,SUM(F17:F28)+F14)</f>
        <v>21.3</v>
      </c>
      <c r="G29" s="44" t="s">
        <v>3</v>
      </c>
      <c r="H29" s="52" t="str">
        <f>IF(OR(COUNTIF(D17:D26,"")&gt;0,COUNTIF(F27:F28,"")&gt;0),"",SUM(H17:H28)+H14)</f>
        <v/>
      </c>
      <c r="I29" s="44" t="s">
        <v>4</v>
      </c>
      <c r="K29" s="46" t="str">
        <f>IF(H29="","Angaben offen!","")</f>
        <v>Angaben offen!</v>
      </c>
    </row>
    <row r="30" spans="1:11" x14ac:dyDescent="0.2">
      <c r="A30" s="43"/>
      <c r="B30" s="43"/>
      <c r="C30" s="43"/>
      <c r="D30" s="43"/>
      <c r="E30" s="43"/>
      <c r="F30" s="47"/>
      <c r="G30" s="43"/>
      <c r="H30" s="47"/>
      <c r="I30" s="43"/>
    </row>
    <row r="31" spans="1:11" x14ac:dyDescent="0.2">
      <c r="A31" s="43"/>
      <c r="B31" s="44" t="s">
        <v>35</v>
      </c>
      <c r="C31" s="43"/>
      <c r="D31" s="43"/>
      <c r="E31" s="43"/>
      <c r="F31" s="47"/>
      <c r="G31" s="43"/>
      <c r="H31" s="47"/>
      <c r="I31" s="43"/>
    </row>
    <row r="32" spans="1:11" x14ac:dyDescent="0.2">
      <c r="A32" s="43" t="s">
        <v>36</v>
      </c>
      <c r="B32" s="43" t="s">
        <v>37</v>
      </c>
      <c r="C32" s="43"/>
      <c r="D32" s="43"/>
      <c r="E32" s="43"/>
      <c r="F32" s="3"/>
      <c r="G32" s="43" t="s">
        <v>3</v>
      </c>
      <c r="H32" s="50" t="str">
        <f>IF(F32="","",ROUND(F32/100*$H$5,2))</f>
        <v/>
      </c>
      <c r="I32" s="43" t="s">
        <v>4</v>
      </c>
      <c r="K32" s="46" t="str">
        <f>IF(F32="","Bitte ausfüllen!","")</f>
        <v>Bitte ausfüllen!</v>
      </c>
    </row>
    <row r="33" spans="1:11" x14ac:dyDescent="0.2">
      <c r="A33" s="43" t="s">
        <v>38</v>
      </c>
      <c r="B33" s="43" t="s">
        <v>39</v>
      </c>
      <c r="C33" s="43"/>
      <c r="D33" s="43"/>
      <c r="E33" s="43"/>
      <c r="F33" s="3"/>
      <c r="G33" s="43" t="s">
        <v>3</v>
      </c>
      <c r="H33" s="50" t="str">
        <f>IF(F33="","",ROUND(F33/100*$H$5,2))</f>
        <v/>
      </c>
      <c r="I33" s="43" t="s">
        <v>4</v>
      </c>
      <c r="K33" s="46" t="str">
        <f>IF(F33="","Bitte ausfüllen!","")</f>
        <v>Bitte ausfüllen!</v>
      </c>
    </row>
    <row r="34" spans="1:11" ht="25.5" customHeight="1" x14ac:dyDescent="0.2">
      <c r="A34" s="44"/>
      <c r="B34" s="149" t="s">
        <v>40</v>
      </c>
      <c r="C34" s="149"/>
      <c r="D34" s="44"/>
      <c r="E34" s="44"/>
      <c r="F34" s="51">
        <f>IF(SUM(F32:F33)=0,0,SUM(F32:F33)+F29)</f>
        <v>0</v>
      </c>
      <c r="G34" s="44" t="s">
        <v>3</v>
      </c>
      <c r="H34" s="52" t="str">
        <f>IF(COUNTIF(H32:H33,"")&gt;0,"",SUM(H32:H33)+H29)</f>
        <v/>
      </c>
      <c r="I34" s="44" t="s">
        <v>4</v>
      </c>
      <c r="K34" s="46" t="str">
        <f>IF(H34="","Angaben offen!","")</f>
        <v>Angaben offen!</v>
      </c>
    </row>
    <row r="35" spans="1:11" x14ac:dyDescent="0.2">
      <c r="A35" s="43"/>
      <c r="B35" s="43"/>
      <c r="C35" s="43"/>
      <c r="D35" s="43"/>
      <c r="E35" s="43"/>
      <c r="F35" s="47"/>
      <c r="G35" s="43"/>
      <c r="H35" s="47"/>
      <c r="I35" s="43"/>
    </row>
    <row r="36" spans="1:11" x14ac:dyDescent="0.2">
      <c r="A36" s="44" t="s">
        <v>41</v>
      </c>
      <c r="B36" s="44" t="s">
        <v>42</v>
      </c>
      <c r="C36" s="44"/>
      <c r="D36" s="44"/>
      <c r="E36" s="44"/>
      <c r="F36" s="48"/>
      <c r="G36" s="44"/>
      <c r="H36" s="48"/>
      <c r="I36" s="44"/>
    </row>
    <row r="37" spans="1:11" x14ac:dyDescent="0.2">
      <c r="A37" s="43" t="s">
        <v>43</v>
      </c>
      <c r="B37" s="43" t="s">
        <v>44</v>
      </c>
      <c r="C37" s="43"/>
      <c r="D37" s="43"/>
      <c r="E37" s="43"/>
      <c r="F37" s="47"/>
      <c r="G37" s="43"/>
      <c r="H37" s="47"/>
      <c r="I37" s="43"/>
    </row>
    <row r="38" spans="1:11" x14ac:dyDescent="0.2">
      <c r="A38" s="43"/>
      <c r="B38" s="43" t="s">
        <v>45</v>
      </c>
      <c r="C38" s="43"/>
      <c r="D38" s="43"/>
      <c r="E38" s="43"/>
      <c r="F38" s="3"/>
      <c r="G38" s="43" t="s">
        <v>3</v>
      </c>
      <c r="H38" s="50" t="str">
        <f>IF(F38="","",ROUND(F38/100*$H$5,2))</f>
        <v/>
      </c>
      <c r="I38" s="43" t="s">
        <v>4</v>
      </c>
      <c r="K38" s="46" t="str">
        <f>IF(F38="","Bitte ausfüllen!","")</f>
        <v>Bitte ausfüllen!</v>
      </c>
    </row>
    <row r="39" spans="1:11" x14ac:dyDescent="0.2">
      <c r="A39" s="43" t="s">
        <v>46</v>
      </c>
      <c r="B39" s="43" t="s">
        <v>47</v>
      </c>
      <c r="C39" s="43"/>
      <c r="D39" s="43"/>
      <c r="E39" s="43"/>
      <c r="F39" s="3"/>
      <c r="G39" s="43" t="s">
        <v>3</v>
      </c>
      <c r="H39" s="50" t="str">
        <f>IF(F39="","",ROUND(F39/100*$H$5,2))</f>
        <v/>
      </c>
      <c r="I39" s="43" t="s">
        <v>4</v>
      </c>
      <c r="K39" s="46" t="str">
        <f>IF(F39="","Bitte ausfüllen!","")</f>
        <v>Bitte ausfüllen!</v>
      </c>
    </row>
    <row r="40" spans="1:11" x14ac:dyDescent="0.2">
      <c r="A40" s="43" t="s">
        <v>48</v>
      </c>
      <c r="B40" s="43" t="s">
        <v>49</v>
      </c>
      <c r="C40" s="43"/>
      <c r="D40" s="43"/>
      <c r="E40" s="43"/>
      <c r="F40" s="3"/>
      <c r="G40" s="43" t="s">
        <v>3</v>
      </c>
      <c r="H40" s="50" t="str">
        <f>IF(F40="","",ROUND(F40/100*$H$5,2))</f>
        <v/>
      </c>
      <c r="I40" s="43" t="s">
        <v>4</v>
      </c>
      <c r="K40" s="46" t="str">
        <f>IF(F40="","Bitte ausfüllen!","")</f>
        <v>Bitte ausfüllen!</v>
      </c>
    </row>
    <row r="41" spans="1:11" x14ac:dyDescent="0.2">
      <c r="A41" s="43" t="s">
        <v>50</v>
      </c>
      <c r="B41" s="43" t="s">
        <v>51</v>
      </c>
      <c r="C41" s="43"/>
      <c r="D41" s="43"/>
      <c r="E41" s="43"/>
      <c r="F41" s="3"/>
      <c r="G41" s="43" t="s">
        <v>3</v>
      </c>
      <c r="H41" s="50" t="str">
        <f>IF(F41="","",ROUND(F41/100*$H$5,2))</f>
        <v/>
      </c>
      <c r="I41" s="43" t="s">
        <v>4</v>
      </c>
      <c r="K41" s="46" t="str">
        <f>IF(F41="","Bitte ausfüllen!","")</f>
        <v>Bitte ausfüllen!</v>
      </c>
    </row>
    <row r="42" spans="1:11" ht="25.5" customHeight="1" x14ac:dyDescent="0.2">
      <c r="A42" s="44"/>
      <c r="B42" s="149" t="s">
        <v>52</v>
      </c>
      <c r="C42" s="149"/>
      <c r="D42" s="44"/>
      <c r="E42" s="44"/>
      <c r="F42" s="51">
        <f>IF(SUM(F38:F41)=0,0,SUM(F38:F41))</f>
        <v>0</v>
      </c>
      <c r="G42" s="44" t="s">
        <v>3</v>
      </c>
      <c r="H42" s="52" t="str">
        <f>IF(COUNTIF(H38:H41,"")&gt;0,"",SUM(H38:H41))</f>
        <v/>
      </c>
      <c r="I42" s="44" t="s">
        <v>4</v>
      </c>
      <c r="K42" s="46" t="str">
        <f>IF(H42="","Angaben offen!","")</f>
        <v>Angaben offen!</v>
      </c>
    </row>
    <row r="43" spans="1:11" x14ac:dyDescent="0.2">
      <c r="A43" s="43"/>
      <c r="B43" s="43"/>
      <c r="C43" s="43"/>
      <c r="D43" s="43"/>
      <c r="E43" s="43"/>
      <c r="F43" s="47"/>
      <c r="G43" s="43"/>
      <c r="H43" s="47"/>
      <c r="I43" s="43"/>
    </row>
    <row r="44" spans="1:11" x14ac:dyDescent="0.2">
      <c r="A44" s="44" t="s">
        <v>53</v>
      </c>
      <c r="B44" s="44" t="s">
        <v>54</v>
      </c>
      <c r="C44" s="44"/>
      <c r="D44" s="44"/>
      <c r="E44" s="44"/>
      <c r="F44" s="44"/>
      <c r="G44" s="44"/>
      <c r="H44" s="44"/>
      <c r="I44" s="44"/>
    </row>
    <row r="45" spans="1:11" x14ac:dyDescent="0.2">
      <c r="A45" s="43" t="s">
        <v>55</v>
      </c>
      <c r="B45" s="43" t="s">
        <v>56</v>
      </c>
      <c r="C45" s="43"/>
      <c r="D45" s="43"/>
      <c r="E45" s="43"/>
      <c r="F45" s="43"/>
      <c r="G45" s="43"/>
      <c r="H45" s="43"/>
      <c r="I45" s="43"/>
    </row>
    <row r="46" spans="1:11" x14ac:dyDescent="0.2">
      <c r="A46" s="43" t="s">
        <v>57</v>
      </c>
      <c r="B46" s="43"/>
      <c r="C46" s="43" t="s">
        <v>58</v>
      </c>
      <c r="D46" s="43"/>
      <c r="E46" s="43"/>
      <c r="F46" s="3"/>
      <c r="G46" s="43" t="s">
        <v>3</v>
      </c>
      <c r="H46" s="50" t="str">
        <f>IF(F46="","",ROUND(F46/100*$H$5,2))</f>
        <v/>
      </c>
      <c r="I46" s="43" t="s">
        <v>4</v>
      </c>
      <c r="K46" s="46" t="str">
        <f>IF(F46="","Bitte ausfüllen!","")</f>
        <v>Bitte ausfüllen!</v>
      </c>
    </row>
    <row r="47" spans="1:11" x14ac:dyDescent="0.2">
      <c r="A47" s="43" t="s">
        <v>59</v>
      </c>
      <c r="B47" s="43"/>
      <c r="C47" s="43" t="s">
        <v>121</v>
      </c>
      <c r="D47" s="43"/>
      <c r="E47" s="43"/>
      <c r="F47" s="3"/>
      <c r="G47" s="43" t="s">
        <v>3</v>
      </c>
      <c r="H47" s="50" t="str">
        <f>IF(F47="","",ROUND(F47/100*$H$5,2))</f>
        <v/>
      </c>
      <c r="I47" s="43" t="s">
        <v>4</v>
      </c>
      <c r="K47" s="46" t="str">
        <f>IF(F47="","Bitte ausfüllen!","")</f>
        <v>Bitte ausfüllen!</v>
      </c>
    </row>
    <row r="48" spans="1:11" x14ac:dyDescent="0.2">
      <c r="A48" s="43" t="s">
        <v>60</v>
      </c>
      <c r="B48" s="43" t="s">
        <v>61</v>
      </c>
      <c r="C48" s="43"/>
      <c r="D48" s="43"/>
      <c r="E48" s="43"/>
      <c r="F48" s="3"/>
      <c r="G48" s="43" t="s">
        <v>3</v>
      </c>
      <c r="H48" s="50" t="str">
        <f>IF(F48="","",ROUND(F48/100*$H$5,2))</f>
        <v/>
      </c>
      <c r="I48" s="43" t="s">
        <v>4</v>
      </c>
      <c r="K48" s="46" t="str">
        <f>IF(F48="","Bitte ausfüllen!","")</f>
        <v>Bitte ausfüllen!</v>
      </c>
    </row>
    <row r="49" spans="1:11" x14ac:dyDescent="0.2">
      <c r="A49" s="43" t="s">
        <v>62</v>
      </c>
      <c r="B49" s="43" t="s">
        <v>63</v>
      </c>
      <c r="C49" s="43"/>
      <c r="D49" s="43"/>
      <c r="E49" s="43"/>
      <c r="F49" s="43"/>
      <c r="G49" s="43"/>
      <c r="H49" s="43"/>
      <c r="I49" s="43"/>
    </row>
    <row r="50" spans="1:11" x14ac:dyDescent="0.2">
      <c r="A50" s="43" t="s">
        <v>64</v>
      </c>
      <c r="B50" s="43"/>
      <c r="C50" s="43" t="s">
        <v>65</v>
      </c>
      <c r="D50" s="43"/>
      <c r="E50" s="43"/>
      <c r="F50" s="3"/>
      <c r="G50" s="43" t="s">
        <v>3</v>
      </c>
      <c r="H50" s="50" t="str">
        <f t="shared" ref="H50:H56" si="0">IF(F50="","",ROUND(F50/100*$H$5,2))</f>
        <v/>
      </c>
      <c r="I50" s="43" t="s">
        <v>4</v>
      </c>
      <c r="K50" s="46" t="str">
        <f t="shared" ref="K50:K56" si="1">IF(F50="","Bitte ausfüllen!","")</f>
        <v>Bitte ausfüllen!</v>
      </c>
    </row>
    <row r="51" spans="1:11" x14ac:dyDescent="0.2">
      <c r="A51" s="43" t="s">
        <v>66</v>
      </c>
      <c r="B51" s="43"/>
      <c r="C51" s="43" t="s">
        <v>67</v>
      </c>
      <c r="D51" s="43"/>
      <c r="E51" s="43"/>
      <c r="F51" s="3"/>
      <c r="G51" s="43" t="s">
        <v>3</v>
      </c>
      <c r="H51" s="50" t="str">
        <f t="shared" si="0"/>
        <v/>
      </c>
      <c r="I51" s="43" t="s">
        <v>4</v>
      </c>
      <c r="K51" s="46" t="str">
        <f t="shared" si="1"/>
        <v>Bitte ausfüllen!</v>
      </c>
    </row>
    <row r="52" spans="1:11" x14ac:dyDescent="0.2">
      <c r="A52" s="43" t="s">
        <v>68</v>
      </c>
      <c r="B52" s="43" t="s">
        <v>69</v>
      </c>
      <c r="C52" s="43"/>
      <c r="D52" s="43"/>
      <c r="E52" s="43"/>
      <c r="F52" s="3"/>
      <c r="G52" s="43" t="s">
        <v>3</v>
      </c>
      <c r="H52" s="50" t="str">
        <f t="shared" si="0"/>
        <v/>
      </c>
      <c r="I52" s="43" t="s">
        <v>4</v>
      </c>
      <c r="K52" s="46" t="str">
        <f t="shared" si="1"/>
        <v>Bitte ausfüllen!</v>
      </c>
    </row>
    <row r="53" spans="1:11" x14ac:dyDescent="0.2">
      <c r="A53" s="43" t="s">
        <v>70</v>
      </c>
      <c r="B53" s="43" t="s">
        <v>71</v>
      </c>
      <c r="C53" s="43"/>
      <c r="D53" s="43"/>
      <c r="E53" s="43"/>
      <c r="F53" s="3"/>
      <c r="G53" s="43" t="s">
        <v>3</v>
      </c>
      <c r="H53" s="50" t="str">
        <f t="shared" si="0"/>
        <v/>
      </c>
      <c r="I53" s="43" t="s">
        <v>4</v>
      </c>
      <c r="K53" s="46" t="str">
        <f t="shared" si="1"/>
        <v>Bitte ausfüllen!</v>
      </c>
    </row>
    <row r="54" spans="1:11" x14ac:dyDescent="0.2">
      <c r="A54" s="43" t="s">
        <v>72</v>
      </c>
      <c r="B54" s="43" t="s">
        <v>73</v>
      </c>
      <c r="C54" s="43"/>
      <c r="D54" s="43"/>
      <c r="E54" s="43"/>
      <c r="F54" s="3"/>
      <c r="G54" s="43" t="s">
        <v>3</v>
      </c>
      <c r="H54" s="50" t="str">
        <f t="shared" si="0"/>
        <v/>
      </c>
      <c r="I54" s="43" t="s">
        <v>4</v>
      </c>
      <c r="K54" s="46" t="str">
        <f t="shared" si="1"/>
        <v>Bitte ausfüllen!</v>
      </c>
    </row>
    <row r="55" spans="1:11" x14ac:dyDescent="0.2">
      <c r="A55" s="43" t="s">
        <v>74</v>
      </c>
      <c r="B55" s="43" t="s">
        <v>75</v>
      </c>
      <c r="C55" s="43"/>
      <c r="D55" s="43"/>
      <c r="E55" s="43"/>
      <c r="F55" s="3"/>
      <c r="G55" s="43" t="s">
        <v>3</v>
      </c>
      <c r="H55" s="50" t="str">
        <f t="shared" si="0"/>
        <v/>
      </c>
      <c r="I55" s="43" t="s">
        <v>4</v>
      </c>
      <c r="K55" s="46" t="str">
        <f t="shared" si="1"/>
        <v>Bitte ausfüllen!</v>
      </c>
    </row>
    <row r="56" spans="1:11" x14ac:dyDescent="0.2">
      <c r="A56" s="43" t="s">
        <v>76</v>
      </c>
      <c r="B56" s="43" t="s">
        <v>77</v>
      </c>
      <c r="C56" s="43"/>
      <c r="D56" s="43"/>
      <c r="E56" s="43"/>
      <c r="F56" s="3"/>
      <c r="G56" s="43" t="s">
        <v>3</v>
      </c>
      <c r="H56" s="50" t="str">
        <f t="shared" si="0"/>
        <v/>
      </c>
      <c r="I56" s="43" t="s">
        <v>4</v>
      </c>
      <c r="K56" s="46" t="str">
        <f t="shared" si="1"/>
        <v>Bitte ausfüllen!</v>
      </c>
    </row>
    <row r="57" spans="1:11" ht="25.5" customHeight="1" x14ac:dyDescent="0.2">
      <c r="A57" s="44"/>
      <c r="B57" s="149" t="s">
        <v>78</v>
      </c>
      <c r="C57" s="149"/>
      <c r="D57" s="44"/>
      <c r="E57" s="44"/>
      <c r="F57" s="51">
        <f>IF(SUM(F45:F56)=0,0,SUM(F45:F56))</f>
        <v>0</v>
      </c>
      <c r="G57" s="44" t="s">
        <v>3</v>
      </c>
      <c r="H57" s="52" t="str">
        <f>IF(COUNTIF(H46:H56,"")&gt;1,"",SUM(H46:H56))</f>
        <v/>
      </c>
      <c r="I57" s="44" t="s">
        <v>4</v>
      </c>
      <c r="K57" s="46" t="str">
        <f>IF(H57="","Angaben offen!","")</f>
        <v>Angaben offen!</v>
      </c>
    </row>
    <row r="58" spans="1:11" x14ac:dyDescent="0.2">
      <c r="A58" s="43"/>
      <c r="B58" s="43"/>
      <c r="C58" s="43"/>
      <c r="D58" s="43"/>
      <c r="E58" s="43"/>
      <c r="F58" s="47"/>
      <c r="G58" s="43"/>
      <c r="H58" s="47"/>
      <c r="I58" s="43"/>
    </row>
    <row r="59" spans="1:11" x14ac:dyDescent="0.2">
      <c r="A59" s="44" t="s">
        <v>79</v>
      </c>
      <c r="B59" s="148" t="s">
        <v>80</v>
      </c>
      <c r="C59" s="148"/>
      <c r="D59" s="44"/>
      <c r="E59" s="44"/>
      <c r="F59" s="56">
        <f>IF(AND(F34=""),0,F34+F42+F57+F5)</f>
        <v>100</v>
      </c>
      <c r="G59" s="44" t="s">
        <v>3</v>
      </c>
      <c r="H59" s="48" t="str">
        <f>IF(H57="","",H34+H42+H57+H5)</f>
        <v/>
      </c>
      <c r="I59" s="44" t="s">
        <v>4</v>
      </c>
    </row>
    <row r="60" spans="1:11" x14ac:dyDescent="0.2">
      <c r="A60" s="44" t="s">
        <v>81</v>
      </c>
      <c r="B60" s="44" t="s">
        <v>82</v>
      </c>
      <c r="C60" s="44"/>
      <c r="D60" s="44"/>
      <c r="E60" s="44"/>
      <c r="F60" s="3"/>
      <c r="G60" s="44" t="s">
        <v>3</v>
      </c>
      <c r="H60" s="52" t="str">
        <f>IF(F60="","",ROUND(F60/100*H59,2))</f>
        <v/>
      </c>
      <c r="I60" s="44" t="s">
        <v>4</v>
      </c>
      <c r="K60" s="46" t="str">
        <f>IF(F60="","Bitte ausfüllen!","")</f>
        <v>Bitte ausfüllen!</v>
      </c>
    </row>
    <row r="61" spans="1:11" x14ac:dyDescent="0.2">
      <c r="A61" s="44"/>
      <c r="B61" s="44" t="s">
        <v>83</v>
      </c>
      <c r="C61" s="44"/>
      <c r="D61" s="44"/>
      <c r="E61" s="44"/>
      <c r="F61" s="51">
        <f ca="1">IF(H61="",0,H61/H5*100)</f>
        <v>0</v>
      </c>
      <c r="G61" s="44" t="s">
        <v>3</v>
      </c>
      <c r="H61" s="52" t="str">
        <f ca="1">IF(SUM(COUNTIF(INDIRECT({"H5","F9:F13","D17:D26","F27:F28","F32:F33","F38:F41","F46:F48","F50:F56","F60","H65:H68"}),""))&gt;0,"",H59+H60)</f>
        <v/>
      </c>
      <c r="I61" s="44" t="s">
        <v>4</v>
      </c>
      <c r="K61" s="46" t="str">
        <f ca="1">IF(SUM(COUNTIF(INDIRECT({"H5","F9:F13","D17:D26","F27:F28","F32:F33","F38:F41","F46:F48","F50:F56","F60","H65:H68"}),""))&gt;0,SUM(COUNTIF(INDIRECT({"H5","F9:F13","D17:D26","F27:F28","F32:F33","F38:F41","F46:F48","F50:F56","F60","H65:H68"}),"")) &amp;" Zelle(n) ohne Wert!","")</f>
        <v>28 Zelle(n) ohne Wert!</v>
      </c>
    </row>
    <row r="62" spans="1:11" x14ac:dyDescent="0.2">
      <c r="A62" s="43"/>
      <c r="B62" s="43" t="s">
        <v>84</v>
      </c>
      <c r="C62" s="43"/>
      <c r="D62" s="43"/>
      <c r="E62" s="43"/>
      <c r="F62" s="51">
        <f ca="1">IF(F61=0,0,F61-F5)</f>
        <v>0</v>
      </c>
      <c r="G62" s="43" t="s">
        <v>3</v>
      </c>
      <c r="H62" s="43"/>
      <c r="I62" s="43"/>
      <c r="K62" s="46" t="str">
        <f ca="1">IF(F62&lt;70,"Bitte prüfen gemäß Aufforderung!","")</f>
        <v>Bitte prüfen gemäß Aufforderung!</v>
      </c>
    </row>
    <row r="63" spans="1:11" x14ac:dyDescent="0.2">
      <c r="A63" s="43"/>
      <c r="B63" s="43"/>
      <c r="C63" s="43"/>
      <c r="D63" s="43"/>
      <c r="E63" s="43"/>
      <c r="F63" s="43"/>
      <c r="G63" s="43"/>
      <c r="H63" s="43"/>
      <c r="I63" s="43"/>
    </row>
    <row r="64" spans="1:11" x14ac:dyDescent="0.2">
      <c r="B64" s="44" t="s">
        <v>85</v>
      </c>
      <c r="D64" s="44"/>
      <c r="E64" s="44"/>
      <c r="G64" s="44"/>
      <c r="H64" s="48" t="s">
        <v>86</v>
      </c>
    </row>
    <row r="65" spans="1:11" x14ac:dyDescent="0.2">
      <c r="B65" s="43" t="s">
        <v>87</v>
      </c>
      <c r="D65" s="43"/>
      <c r="E65" s="43"/>
      <c r="G65" s="57"/>
      <c r="H65" s="4"/>
      <c r="K65" s="46" t="str">
        <f>IF(H65="","Bitte ausfüllen!","")</f>
        <v>Bitte ausfüllen!</v>
      </c>
    </row>
    <row r="66" spans="1:11" x14ac:dyDescent="0.2">
      <c r="B66" s="43" t="s">
        <v>88</v>
      </c>
      <c r="D66" s="43"/>
      <c r="E66" s="43"/>
      <c r="G66" s="57"/>
      <c r="H66" s="5"/>
      <c r="K66" s="46" t="str">
        <f>IF(H66="","Bitte ausfüllen!","")</f>
        <v>Bitte ausfüllen!</v>
      </c>
    </row>
    <row r="67" spans="1:11" x14ac:dyDescent="0.2">
      <c r="B67" s="43" t="s">
        <v>89</v>
      </c>
      <c r="D67" s="43"/>
      <c r="E67" s="43"/>
      <c r="G67" s="57"/>
      <c r="H67" s="6"/>
      <c r="K67" s="46" t="str">
        <f>IF(H67="","Bitte ausfüllen!","")</f>
        <v>Bitte ausfüllen!</v>
      </c>
    </row>
    <row r="68" spans="1:11" x14ac:dyDescent="0.2">
      <c r="B68" s="43" t="s">
        <v>90</v>
      </c>
      <c r="D68" s="43"/>
      <c r="E68" s="43"/>
      <c r="G68" s="57"/>
      <c r="H68" s="5"/>
      <c r="K68" s="46" t="str">
        <f>IF(H68="","Bitte ausfüllen!","")</f>
        <v>Bitte ausfüllen!</v>
      </c>
    </row>
    <row r="70" spans="1:11" x14ac:dyDescent="0.2">
      <c r="C70" s="19"/>
      <c r="D70" s="15"/>
    </row>
    <row r="71" spans="1:11" ht="15.95" customHeight="1" x14ac:dyDescent="0.2">
      <c r="A71" s="139" t="s">
        <v>209</v>
      </c>
      <c r="B71" s="139"/>
      <c r="C71" s="139"/>
      <c r="D71" s="139" t="s">
        <v>212</v>
      </c>
      <c r="F71" s="141" t="s">
        <v>134</v>
      </c>
      <c r="G71" s="142"/>
      <c r="H71" s="143"/>
    </row>
    <row r="72" spans="1:11" ht="15.95" customHeight="1" x14ac:dyDescent="0.2">
      <c r="A72" s="140"/>
      <c r="B72" s="140"/>
      <c r="C72" s="140"/>
      <c r="D72" s="140"/>
      <c r="F72" s="144"/>
      <c r="G72" s="145"/>
      <c r="H72" s="146"/>
      <c r="I72" s="44"/>
      <c r="J72" s="44"/>
      <c r="K72" s="44"/>
    </row>
    <row r="73" spans="1:11" ht="19.899999999999999" customHeight="1" x14ac:dyDescent="0.2">
      <c r="A73" s="137">
        <v>1</v>
      </c>
      <c r="B73" s="137"/>
      <c r="C73" s="60" t="s">
        <v>129</v>
      </c>
      <c r="D73" s="61">
        <v>7.3</v>
      </c>
      <c r="F73" s="138" t="s">
        <v>399</v>
      </c>
      <c r="G73" s="138"/>
      <c r="H73" s="138"/>
    </row>
    <row r="74" spans="1:11" ht="19.899999999999999" customHeight="1" x14ac:dyDescent="0.2">
      <c r="A74" s="137">
        <v>2</v>
      </c>
      <c r="B74" s="137"/>
      <c r="C74" s="60" t="s">
        <v>130</v>
      </c>
      <c r="D74" s="61">
        <v>9.3000000000000007</v>
      </c>
    </row>
    <row r="75" spans="1:11" ht="23.25" customHeight="1" x14ac:dyDescent="0.2">
      <c r="A75" s="137">
        <v>3</v>
      </c>
      <c r="B75" s="137"/>
      <c r="C75" s="60" t="s">
        <v>131</v>
      </c>
      <c r="D75" s="61">
        <v>1.3</v>
      </c>
    </row>
    <row r="76" spans="1:11" ht="23.25" customHeight="1" x14ac:dyDescent="0.2">
      <c r="A76" s="137">
        <v>4</v>
      </c>
      <c r="B76" s="137"/>
      <c r="C76" s="60" t="s">
        <v>132</v>
      </c>
      <c r="D76" s="61">
        <f>IF( F73="Sachsen",1.3,1.8)</f>
        <v>1.8</v>
      </c>
    </row>
    <row r="77" spans="1:11" ht="31.5" x14ac:dyDescent="0.2">
      <c r="A77" s="137">
        <v>5</v>
      </c>
      <c r="B77" s="137"/>
      <c r="C77" s="60" t="s">
        <v>213</v>
      </c>
      <c r="D77" s="61">
        <v>1.45</v>
      </c>
    </row>
    <row r="78" spans="1:11" ht="23.25" customHeight="1" x14ac:dyDescent="0.2">
      <c r="A78" s="137">
        <v>6</v>
      </c>
      <c r="B78" s="137"/>
      <c r="C78" s="60" t="s">
        <v>119</v>
      </c>
      <c r="D78" s="61"/>
    </row>
    <row r="79" spans="1:11" ht="23.25" customHeight="1" x14ac:dyDescent="0.2">
      <c r="A79" s="137">
        <v>7</v>
      </c>
      <c r="B79" s="137"/>
      <c r="C79" s="60" t="s">
        <v>133</v>
      </c>
      <c r="D79" s="61">
        <v>0.15</v>
      </c>
    </row>
  </sheetData>
  <sheetProtection algorithmName="SHA-512" hashValue="oC64gaQKcO7d4b86IkMz/JhlpfO5von8Z27TRlkC/nhKEbRiuU1Lyj0PaboxZ32v5oGM2Td/x8EPsNITtnC/bA==" saltValue="Fm2khzyvm2TXj1NZTHvDUQ==" spinCount="100000" sheet="1" objects="1" scenarios="1"/>
  <mergeCells count="18">
    <mergeCell ref="A71:C72"/>
    <mergeCell ref="D71:D72"/>
    <mergeCell ref="F71:H72"/>
    <mergeCell ref="E1:I2"/>
    <mergeCell ref="A3:I3"/>
    <mergeCell ref="B59:C59"/>
    <mergeCell ref="B29:C29"/>
    <mergeCell ref="B34:C34"/>
    <mergeCell ref="B42:C42"/>
    <mergeCell ref="B57:C57"/>
    <mergeCell ref="A78:B78"/>
    <mergeCell ref="A79:B79"/>
    <mergeCell ref="F73:H73"/>
    <mergeCell ref="A73:B73"/>
    <mergeCell ref="A74:B74"/>
    <mergeCell ref="A75:B75"/>
    <mergeCell ref="A76:B76"/>
    <mergeCell ref="A77:B77"/>
  </mergeCells>
  <phoneticPr fontId="3" type="noConversion"/>
  <dataValidations count="1">
    <dataValidation type="decimal" errorStyle="warning" allowBlank="1" showInputMessage="1" showErrorMessage="1" error="Bitte überprüfen Sie Ihre Eingaben." sqref="C25" xr:uid="{00000000-0002-0000-0500-000000000000}">
      <formula1>8.5</formula1>
      <formula2>84</formula2>
    </dataValidation>
  </dataValidations>
  <hyperlinks>
    <hyperlink ref="K1" location="Inhaltsverzeichnis!A1" display="Zurück zum Inhaltsverzeichnis" xr:uid="{00000000-0004-0000-0500-000000000000}"/>
  </hyperlinks>
  <printOptions horizontalCentered="1"/>
  <pageMargins left="0.78740157480314965" right="0.78740157480314965" top="0.98425196850393704" bottom="0.98425196850393704" header="0.51181102362204722" footer="0.51181102362204722"/>
  <pageSetup paperSize="9" scale="60" fitToWidth="0" fitToHeight="0" orientation="portrait" r:id="rId1"/>
  <headerFooter alignWithMargins="0">
    <oddHeader>&amp;L&amp;F</oddHeader>
    <oddFooter>&amp;LStadt Königs Wusterhausen&amp;CSeite &amp;P von &amp;N&amp;RSVS GlasRG</oddFooter>
  </headerFooter>
  <rowBreaks count="1" manualBreakCount="1">
    <brk id="79" max="16383"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ltText="Hinweis">
                <anchor moveWithCells="1">
                  <from>
                    <xdr:col>2</xdr:col>
                    <xdr:colOff>2924175</xdr:colOff>
                    <xdr:row>0</xdr:row>
                    <xdr:rowOff>123825</xdr:rowOff>
                  </from>
                  <to>
                    <xdr:col>3</xdr:col>
                    <xdr:colOff>561975</xdr:colOff>
                    <xdr:row>0</xdr:row>
                    <xdr:rowOff>409575</xdr:rowOff>
                  </to>
                </anchor>
              </controlPr>
            </control>
          </mc:Choice>
        </mc:AlternateContent>
        <mc:AlternateContent xmlns:mc="http://schemas.openxmlformats.org/markup-compatibility/2006">
          <mc:Choice Requires="x14">
            <control shapeId="28674" r:id="rId5" name="Check Box 2">
              <controlPr defaultSize="0" autoFill="0" autoLine="0" autoPict="0" altText="Hinweis">
                <anchor moveWithCells="1">
                  <from>
                    <xdr:col>2</xdr:col>
                    <xdr:colOff>2924175</xdr:colOff>
                    <xdr:row>0</xdr:row>
                    <xdr:rowOff>419100</xdr:rowOff>
                  </from>
                  <to>
                    <xdr:col>3</xdr:col>
                    <xdr:colOff>561975</xdr:colOff>
                    <xdr:row>1</xdr:row>
                    <xdr:rowOff>276225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tabColor indexed="13"/>
  </sheetPr>
  <dimension ref="A1:V79"/>
  <sheetViews>
    <sheetView showGridLines="0" zoomScaleNormal="100" zoomScaleSheetLayoutView="85" workbookViewId="0"/>
  </sheetViews>
  <sheetFormatPr baseColWidth="10" defaultColWidth="11.42578125" defaultRowHeight="10.5" x14ac:dyDescent="0.2"/>
  <cols>
    <col min="1" max="1" width="6.42578125" style="16" customWidth="1"/>
    <col min="2" max="2" width="2.7109375" style="16" customWidth="1"/>
    <col min="3" max="3" width="45.5703125" style="16" customWidth="1"/>
    <col min="4" max="4" width="8.85546875" style="16" customWidth="1"/>
    <col min="5" max="5" width="2.5703125" style="16" customWidth="1"/>
    <col min="6" max="6" width="11.42578125" style="16"/>
    <col min="7" max="7" width="2.85546875" style="16" customWidth="1"/>
    <col min="8" max="8" width="11.42578125" style="16"/>
    <col min="9" max="9" width="2.7109375" style="16" bestFit="1" customWidth="1"/>
    <col min="10" max="10" width="1.28515625" style="16" customWidth="1"/>
    <col min="11" max="11" width="41.28515625" style="16" customWidth="1"/>
    <col min="12" max="12" width="62.28515625" style="65" customWidth="1"/>
    <col min="13" max="16" width="12.42578125" style="65" customWidth="1"/>
    <col min="17" max="16384" width="11.42578125" style="16"/>
  </cols>
  <sheetData>
    <row r="1" spans="1:16" ht="34.15" customHeight="1" x14ac:dyDescent="0.2">
      <c r="A1" s="41" t="str">
        <f ca="1">IF(H61&lt;&gt;"","","Bitte alle gelben Zellen ausfüllen.")</f>
        <v>Bitte alle gelben Zellen ausfüllen.</v>
      </c>
      <c r="D1" s="8" t="b">
        <v>0</v>
      </c>
      <c r="E1" s="129"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129"/>
      <c r="G1" s="129"/>
      <c r="H1" s="129"/>
      <c r="L1" s="16"/>
      <c r="M1" s="1" t="s">
        <v>100</v>
      </c>
    </row>
    <row r="2" spans="1:16" ht="41.25" customHeight="1" x14ac:dyDescent="0.2">
      <c r="A2" s="16" t="s">
        <v>103</v>
      </c>
      <c r="C2" s="15" t="str">
        <f>IF(Inhaltsverzeichnis!$C$3="", "",Inhaltsverzeichnis!$C$3)</f>
        <v/>
      </c>
      <c r="D2" s="8" t="b">
        <v>0</v>
      </c>
      <c r="E2" s="129"/>
      <c r="F2" s="129"/>
      <c r="G2" s="129"/>
      <c r="H2" s="129"/>
    </row>
    <row r="3" spans="1:16" ht="12.75" x14ac:dyDescent="0.2">
      <c r="A3" s="147" t="s">
        <v>386</v>
      </c>
      <c r="B3" s="147"/>
      <c r="C3" s="147"/>
      <c r="D3" s="147"/>
      <c r="E3" s="147"/>
      <c r="F3" s="147"/>
      <c r="G3" s="147"/>
      <c r="H3" s="147"/>
      <c r="I3" s="147"/>
      <c r="L3" s="66" t="s">
        <v>137</v>
      </c>
      <c r="M3" s="9">
        <v>30</v>
      </c>
      <c r="N3" s="9">
        <v>80</v>
      </c>
      <c r="O3" s="9">
        <v>200</v>
      </c>
      <c r="P3" s="9">
        <v>200</v>
      </c>
    </row>
    <row r="4" spans="1:16" x14ac:dyDescent="0.2">
      <c r="A4" s="43"/>
      <c r="B4" s="43"/>
      <c r="C4" s="43"/>
      <c r="D4" s="43"/>
      <c r="E4" s="43"/>
      <c r="F4" s="43"/>
      <c r="G4" s="43"/>
      <c r="H4" s="43"/>
      <c r="I4" s="43"/>
      <c r="L4" s="67" t="s">
        <v>138</v>
      </c>
      <c r="M4" s="10">
        <v>25</v>
      </c>
      <c r="N4" s="11">
        <v>50</v>
      </c>
      <c r="O4" s="11">
        <v>150</v>
      </c>
      <c r="P4" s="11">
        <v>125</v>
      </c>
    </row>
    <row r="5" spans="1:16" ht="31.5" x14ac:dyDescent="0.2">
      <c r="A5" s="44" t="s">
        <v>1</v>
      </c>
      <c r="B5" s="44" t="s">
        <v>2</v>
      </c>
      <c r="C5" s="44"/>
      <c r="D5" s="44"/>
      <c r="E5" s="44"/>
      <c r="F5" s="45">
        <v>100</v>
      </c>
      <c r="G5" s="44" t="s">
        <v>3</v>
      </c>
      <c r="H5" s="2">
        <v>15</v>
      </c>
      <c r="I5" s="44" t="s">
        <v>4</v>
      </c>
      <c r="K5" s="68" t="str">
        <f ca="1">IF(H5="","Bitte ausfüllen!",IF(H61="","Der voreingetragene produktive Stundenlohn ist eine Mindestanforderung. Inhalt der gelben Zellen kann angepasst werden.",""))</f>
        <v>Der voreingetragene produktive Stundenlohn ist eine Mindestanforderung. Inhalt der gelben Zellen kann angepasst werden.</v>
      </c>
      <c r="L5" s="66"/>
      <c r="M5" s="69" t="s">
        <v>139</v>
      </c>
      <c r="N5" s="69" t="s">
        <v>210</v>
      </c>
      <c r="O5" s="69" t="s">
        <v>152</v>
      </c>
      <c r="P5" s="69" t="s">
        <v>211</v>
      </c>
    </row>
    <row r="6" spans="1:16" x14ac:dyDescent="0.2">
      <c r="A6" s="43"/>
      <c r="B6" s="43"/>
      <c r="C6" s="43"/>
      <c r="D6" s="43"/>
      <c r="E6" s="43"/>
      <c r="F6" s="47"/>
      <c r="G6" s="43"/>
      <c r="H6" s="47"/>
      <c r="I6" s="43"/>
      <c r="L6" s="66"/>
      <c r="M6" s="70" t="s">
        <v>4</v>
      </c>
      <c r="N6" s="70" t="s">
        <v>4</v>
      </c>
      <c r="O6" s="70" t="s">
        <v>4</v>
      </c>
      <c r="P6" s="70" t="s">
        <v>4</v>
      </c>
    </row>
    <row r="7" spans="1:16" x14ac:dyDescent="0.2">
      <c r="A7" s="44" t="s">
        <v>5</v>
      </c>
      <c r="B7" s="44" t="s">
        <v>6</v>
      </c>
      <c r="C7" s="44"/>
      <c r="D7" s="44"/>
      <c r="E7" s="44"/>
      <c r="F7" s="48"/>
      <c r="G7" s="44"/>
      <c r="H7" s="48"/>
      <c r="I7" s="44"/>
      <c r="L7" s="67" t="s">
        <v>140</v>
      </c>
      <c r="M7" s="71" t="str">
        <f ca="1">IF($H$61="","",ROUND(M3/100*$H$5,2))</f>
        <v/>
      </c>
      <c r="N7" s="71" t="str">
        <f ca="1">IF($H$61="","",ROUND(N3/100*$H$5,2))</f>
        <v/>
      </c>
      <c r="O7" s="71" t="str">
        <f ca="1">IF($H$61="","",ROUND(O3/100*$H$5,2))</f>
        <v/>
      </c>
      <c r="P7" s="71" t="str">
        <f ca="1">IF($H$61="","",ROUND(P3/100*$H$5,2))</f>
        <v/>
      </c>
    </row>
    <row r="8" spans="1:16" ht="14.25" x14ac:dyDescent="0.2">
      <c r="A8" s="43" t="s">
        <v>7</v>
      </c>
      <c r="B8" s="43" t="s">
        <v>8</v>
      </c>
      <c r="C8" s="43"/>
      <c r="D8" s="43"/>
      <c r="E8" s="43"/>
      <c r="F8" s="48"/>
      <c r="G8" s="48"/>
      <c r="H8" s="48"/>
      <c r="I8" s="48"/>
      <c r="K8" s="49"/>
      <c r="L8" s="66"/>
      <c r="M8" s="67"/>
      <c r="N8" s="67"/>
      <c r="O8" s="67"/>
      <c r="P8" s="67"/>
    </row>
    <row r="9" spans="1:16" x14ac:dyDescent="0.2">
      <c r="A9" s="43" t="s">
        <v>9</v>
      </c>
      <c r="B9" s="43"/>
      <c r="C9" s="43" t="s">
        <v>10</v>
      </c>
      <c r="D9" s="43"/>
      <c r="E9" s="43"/>
      <c r="F9" s="3"/>
      <c r="G9" s="43" t="s">
        <v>3</v>
      </c>
      <c r="H9" s="50" t="str">
        <f>IF(F9="","",ROUND(F9/100*$H$5,2))</f>
        <v/>
      </c>
      <c r="I9" s="43" t="s">
        <v>4</v>
      </c>
      <c r="K9" s="46" t="str">
        <f>IF(F9="","Bitte ausfüllen!","")</f>
        <v>Bitte ausfüllen!</v>
      </c>
      <c r="L9" s="67" t="s">
        <v>141</v>
      </c>
      <c r="M9" s="71">
        <f>$H$5*(M4/100)</f>
        <v>3.75</v>
      </c>
      <c r="N9" s="71">
        <f>$H$5*(N4/100)</f>
        <v>7.5</v>
      </c>
      <c r="O9" s="71">
        <f>$H$5*(O4/100)</f>
        <v>22.5</v>
      </c>
      <c r="P9" s="71">
        <f>$H$5*(P4/100)</f>
        <v>18.75</v>
      </c>
    </row>
    <row r="10" spans="1:16" x14ac:dyDescent="0.2">
      <c r="A10" s="43" t="s">
        <v>11</v>
      </c>
      <c r="B10" s="43"/>
      <c r="C10" s="43" t="s">
        <v>12</v>
      </c>
      <c r="D10" s="43"/>
      <c r="E10" s="43"/>
      <c r="F10" s="3"/>
      <c r="G10" s="43" t="s">
        <v>3</v>
      </c>
      <c r="H10" s="50" t="str">
        <f>IF(F10="","",ROUND(F10/100*$H$5,2))</f>
        <v/>
      </c>
      <c r="I10" s="43" t="s">
        <v>4</v>
      </c>
      <c r="K10" s="46" t="str">
        <f>IF(F10="","Bitte ausfüllen!","")</f>
        <v>Bitte ausfüllen!</v>
      </c>
      <c r="L10" s="67" t="s">
        <v>142</v>
      </c>
      <c r="M10" s="72" t="str">
        <f ca="1">IF(M7="","",M7-M9)</f>
        <v/>
      </c>
      <c r="N10" s="72" t="str">
        <f ca="1">IF(N7="","",N7-N9)</f>
        <v/>
      </c>
      <c r="O10" s="72" t="str">
        <f ca="1">IF(O7="","",O7-O9)</f>
        <v/>
      </c>
      <c r="P10" s="72" t="str">
        <f ca="1">IF(P7="","",P7-P9)</f>
        <v/>
      </c>
    </row>
    <row r="11" spans="1:16" x14ac:dyDescent="0.2">
      <c r="A11" s="43" t="s">
        <v>13</v>
      </c>
      <c r="B11" s="43"/>
      <c r="C11" s="43" t="s">
        <v>14</v>
      </c>
      <c r="D11" s="43"/>
      <c r="E11" s="43"/>
      <c r="F11" s="3"/>
      <c r="G11" s="43" t="s">
        <v>3</v>
      </c>
      <c r="H11" s="50" t="str">
        <f>IF(F11="","",ROUND(F11/100*$H$5,2))</f>
        <v/>
      </c>
      <c r="I11" s="43" t="s">
        <v>4</v>
      </c>
      <c r="K11" s="46" t="str">
        <f>IF(F11="","Bitte ausfüllen!","")</f>
        <v>Bitte ausfüllen!</v>
      </c>
      <c r="L11" s="67"/>
      <c r="M11" s="67"/>
      <c r="N11" s="67"/>
      <c r="O11" s="67"/>
      <c r="P11" s="67"/>
    </row>
    <row r="12" spans="1:16" x14ac:dyDescent="0.2">
      <c r="A12" s="43" t="s">
        <v>15</v>
      </c>
      <c r="B12" s="43"/>
      <c r="C12" s="43" t="s">
        <v>16</v>
      </c>
      <c r="D12" s="43"/>
      <c r="E12" s="43"/>
      <c r="F12" s="3"/>
      <c r="G12" s="43" t="s">
        <v>3</v>
      </c>
      <c r="H12" s="50" t="str">
        <f>IF(F12="","",ROUND(F12/100*$H$5,2))</f>
        <v/>
      </c>
      <c r="I12" s="43" t="s">
        <v>4</v>
      </c>
      <c r="K12" s="46" t="str">
        <f>IF(F12="","Bitte ausfüllen!","")</f>
        <v>Bitte ausfüllen!</v>
      </c>
      <c r="L12" s="67" t="s">
        <v>143</v>
      </c>
      <c r="M12" s="71" t="str">
        <f ca="1">IF(M10="","",$D17%*M$10)</f>
        <v/>
      </c>
      <c r="N12" s="71" t="str">
        <f ca="1">IF(N10="","",$D17%*N$10)</f>
        <v/>
      </c>
      <c r="O12" s="71" t="str">
        <f ca="1">IF(O10="","",$D17%*O$10)</f>
        <v/>
      </c>
      <c r="P12" s="71" t="str">
        <f ca="1">IF(P10="","",$D17%*P$10)</f>
        <v/>
      </c>
    </row>
    <row r="13" spans="1:16" x14ac:dyDescent="0.2">
      <c r="A13" s="43" t="s">
        <v>17</v>
      </c>
      <c r="B13" s="43"/>
      <c r="C13" s="43" t="s">
        <v>18</v>
      </c>
      <c r="D13" s="43"/>
      <c r="E13" s="43"/>
      <c r="F13" s="3"/>
      <c r="G13" s="43" t="s">
        <v>3</v>
      </c>
      <c r="H13" s="50" t="str">
        <f>IF(F13="","",ROUND(F13/100*$H$5,2))</f>
        <v/>
      </c>
      <c r="I13" s="43" t="s">
        <v>4</v>
      </c>
      <c r="K13" s="46" t="str">
        <f>IF(F13="","Bitte ausfüllen!","")</f>
        <v>Bitte ausfüllen!</v>
      </c>
      <c r="L13" s="67" t="s">
        <v>23</v>
      </c>
      <c r="M13" s="71" t="str">
        <f ca="1">IF(M12="","",$D18%*M$10)</f>
        <v/>
      </c>
      <c r="N13" s="71" t="str">
        <f ca="1">IF(N12="","",$D18%*N$10)</f>
        <v/>
      </c>
      <c r="O13" s="71" t="str">
        <f ca="1">IF(O12="","",$D18%*O$10)</f>
        <v/>
      </c>
      <c r="P13" s="71" t="str">
        <f ca="1">IF(P12="","",$D18%*P$10)</f>
        <v/>
      </c>
    </row>
    <row r="14" spans="1:16" x14ac:dyDescent="0.2">
      <c r="A14" s="44"/>
      <c r="B14" s="44" t="s">
        <v>19</v>
      </c>
      <c r="C14" s="44"/>
      <c r="D14" s="44"/>
      <c r="E14" s="44"/>
      <c r="F14" s="51">
        <f>IF(SUM(F9:F13)=0,0,SUM(F9:F13))</f>
        <v>0</v>
      </c>
      <c r="G14" s="44" t="s">
        <v>3</v>
      </c>
      <c r="H14" s="52" t="str">
        <f>IF(COUNTIF(F9:F13,"")&gt;0,"",SUM(H8:H13))</f>
        <v/>
      </c>
      <c r="I14" s="44" t="s">
        <v>4</v>
      </c>
      <c r="K14" s="46" t="str">
        <f>IF(H14="","Angaben offen!","")</f>
        <v>Angaben offen!</v>
      </c>
      <c r="L14" s="67" t="s">
        <v>144</v>
      </c>
      <c r="M14" s="71" t="str">
        <f t="shared" ref="M14:M21" ca="1" si="0">IF(M13="","",$D19%*M$10)</f>
        <v/>
      </c>
      <c r="N14" s="71" t="str">
        <f t="shared" ref="N14:N21" ca="1" si="1">IF(N13="","",$D19%*N$10)</f>
        <v/>
      </c>
      <c r="O14" s="71" t="str">
        <f t="shared" ref="O14:O21" ca="1" si="2">IF(O13="","",$D19%*O$10)</f>
        <v/>
      </c>
      <c r="P14" s="71" t="str">
        <f t="shared" ref="P14:P21" ca="1" si="3">IF(P13="","",$D19%*P$10)</f>
        <v/>
      </c>
    </row>
    <row r="15" spans="1:16" x14ac:dyDescent="0.2">
      <c r="A15" s="43"/>
      <c r="B15" s="43"/>
      <c r="C15" s="43"/>
      <c r="D15" s="43"/>
      <c r="E15" s="43"/>
      <c r="F15" s="47"/>
      <c r="G15" s="43"/>
      <c r="H15" s="47"/>
      <c r="I15" s="43"/>
      <c r="L15" s="67" t="s">
        <v>25</v>
      </c>
      <c r="M15" s="71" t="str">
        <f t="shared" ca="1" si="0"/>
        <v/>
      </c>
      <c r="N15" s="71" t="str">
        <f t="shared" ca="1" si="1"/>
        <v/>
      </c>
      <c r="O15" s="71" t="str">
        <f t="shared" ca="1" si="2"/>
        <v/>
      </c>
      <c r="P15" s="71" t="str">
        <f t="shared" ca="1" si="3"/>
        <v/>
      </c>
    </row>
    <row r="16" spans="1:16" x14ac:dyDescent="0.2">
      <c r="A16" s="44" t="s">
        <v>20</v>
      </c>
      <c r="B16" s="44" t="s">
        <v>21</v>
      </c>
      <c r="C16" s="44"/>
      <c r="D16" s="44"/>
      <c r="E16" s="44"/>
      <c r="F16" s="48"/>
      <c r="G16" s="44"/>
      <c r="H16" s="48"/>
      <c r="I16" s="44"/>
      <c r="L16" s="67" t="s">
        <v>145</v>
      </c>
      <c r="M16" s="71" t="str">
        <f t="shared" ca="1" si="0"/>
        <v/>
      </c>
      <c r="N16" s="71" t="str">
        <f t="shared" ca="1" si="1"/>
        <v/>
      </c>
      <c r="O16" s="71" t="str">
        <f t="shared" ca="1" si="2"/>
        <v/>
      </c>
      <c r="P16" s="71" t="str">
        <f t="shared" ca="1" si="3"/>
        <v/>
      </c>
    </row>
    <row r="17" spans="1:22" ht="11.25" x14ac:dyDescent="0.2">
      <c r="A17" s="43" t="s">
        <v>22</v>
      </c>
      <c r="B17" s="43" t="s">
        <v>122</v>
      </c>
      <c r="C17" s="43"/>
      <c r="D17" s="3">
        <f>D73+D77</f>
        <v>8.75</v>
      </c>
      <c r="E17" s="43" t="s">
        <v>3</v>
      </c>
      <c r="F17" s="47"/>
      <c r="G17" s="43"/>
      <c r="H17" s="47"/>
      <c r="I17" s="43"/>
      <c r="K17" s="46" t="str">
        <f ca="1">IF(D17&lt;(D73+D77),"Wert prüfen!",IF(H61="","Inhalt der gelben Zellen kann angepasst werden.",""))</f>
        <v>Inhalt der gelben Zellen kann angepasst werden.</v>
      </c>
      <c r="L17" s="67" t="s">
        <v>27</v>
      </c>
      <c r="M17" s="71" t="str">
        <f t="shared" ca="1" si="0"/>
        <v/>
      </c>
      <c r="N17" s="71" t="str">
        <f t="shared" ca="1" si="1"/>
        <v/>
      </c>
      <c r="O17" s="71" t="str">
        <f t="shared" ca="1" si="2"/>
        <v/>
      </c>
      <c r="P17" s="71" t="str">
        <f t="shared" ca="1" si="3"/>
        <v/>
      </c>
    </row>
    <row r="18" spans="1:22" x14ac:dyDescent="0.2">
      <c r="A18" s="43"/>
      <c r="B18" s="43" t="s">
        <v>23</v>
      </c>
      <c r="C18" s="43"/>
      <c r="D18" s="53">
        <f>(D17/100)*$F$14</f>
        <v>0</v>
      </c>
      <c r="E18" s="43" t="s">
        <v>3</v>
      </c>
      <c r="F18" s="54">
        <f>IF(D18="","",D17+D18)</f>
        <v>8.75</v>
      </c>
      <c r="G18" s="43" t="s">
        <v>3</v>
      </c>
      <c r="H18" s="50">
        <f>IF(D18="","",ROUND(F18/100*$H$5,2))</f>
        <v>1.31</v>
      </c>
      <c r="I18" s="43" t="s">
        <v>4</v>
      </c>
      <c r="K18" s="46"/>
      <c r="L18" s="67" t="s">
        <v>146</v>
      </c>
      <c r="M18" s="71" t="str">
        <f t="shared" ca="1" si="0"/>
        <v/>
      </c>
      <c r="N18" s="71" t="str">
        <f t="shared" ca="1" si="1"/>
        <v/>
      </c>
      <c r="O18" s="71" t="str">
        <f t="shared" ca="1" si="2"/>
        <v/>
      </c>
      <c r="P18" s="71" t="str">
        <f t="shared" ca="1" si="3"/>
        <v/>
      </c>
    </row>
    <row r="19" spans="1:22" ht="11.25" x14ac:dyDescent="0.2">
      <c r="A19" s="43" t="s">
        <v>24</v>
      </c>
      <c r="B19" s="43" t="s">
        <v>123</v>
      </c>
      <c r="C19" s="43"/>
      <c r="D19" s="3">
        <f>D74</f>
        <v>9.3000000000000007</v>
      </c>
      <c r="E19" s="43" t="s">
        <v>3</v>
      </c>
      <c r="F19" s="55"/>
      <c r="G19" s="43"/>
      <c r="H19" s="47"/>
      <c r="I19" s="43"/>
      <c r="K19" s="46" t="str">
        <f ca="1">IF(D19&lt;&gt;D74,"Wert prüfen!",IF(H61="","Inhalt der gelben Zellen kann angepasst werden.",""))</f>
        <v>Inhalt der gelben Zellen kann angepasst werden.</v>
      </c>
      <c r="L19" s="67" t="s">
        <v>29</v>
      </c>
      <c r="M19" s="71" t="str">
        <f t="shared" ca="1" si="0"/>
        <v/>
      </c>
      <c r="N19" s="71" t="str">
        <f t="shared" ca="1" si="1"/>
        <v/>
      </c>
      <c r="O19" s="71" t="str">
        <f t="shared" ca="1" si="2"/>
        <v/>
      </c>
      <c r="P19" s="71" t="str">
        <f t="shared" ca="1" si="3"/>
        <v/>
      </c>
    </row>
    <row r="20" spans="1:22" x14ac:dyDescent="0.2">
      <c r="A20" s="43"/>
      <c r="B20" s="43" t="s">
        <v>25</v>
      </c>
      <c r="C20" s="43"/>
      <c r="D20" s="53">
        <f>(D19/100)*$F$14</f>
        <v>0</v>
      </c>
      <c r="E20" s="43" t="s">
        <v>3</v>
      </c>
      <c r="F20" s="54">
        <f>IF(D20="","",D19+D20)</f>
        <v>9.3000000000000007</v>
      </c>
      <c r="G20" s="43" t="s">
        <v>3</v>
      </c>
      <c r="H20" s="50">
        <f>IF(D20="","",ROUND(F20/100*$H$5,2))</f>
        <v>1.4</v>
      </c>
      <c r="I20" s="43" t="s">
        <v>4</v>
      </c>
      <c r="K20" s="46"/>
      <c r="L20" s="67" t="s">
        <v>147</v>
      </c>
      <c r="M20" s="71" t="str">
        <f t="shared" ca="1" si="0"/>
        <v/>
      </c>
      <c r="N20" s="71" t="str">
        <f t="shared" ca="1" si="1"/>
        <v/>
      </c>
      <c r="O20" s="71" t="str">
        <f t="shared" ca="1" si="2"/>
        <v/>
      </c>
      <c r="P20" s="71" t="str">
        <f t="shared" ca="1" si="3"/>
        <v/>
      </c>
    </row>
    <row r="21" spans="1:22" ht="11.25" x14ac:dyDescent="0.2">
      <c r="A21" s="43" t="s">
        <v>26</v>
      </c>
      <c r="B21" s="43" t="s">
        <v>124</v>
      </c>
      <c r="C21" s="43"/>
      <c r="D21" s="3">
        <f>D75</f>
        <v>1.3</v>
      </c>
      <c r="E21" s="43" t="s">
        <v>3</v>
      </c>
      <c r="F21" s="55"/>
      <c r="G21" s="43"/>
      <c r="H21" s="47"/>
      <c r="I21" s="43"/>
      <c r="K21" s="46" t="str">
        <f ca="1">IF(D21&lt;&gt;D75,"Wert prüfen!",IF(H61="","Inhalt der gelben Zellen kann angepasst werden.",""))</f>
        <v>Inhalt der gelben Zellen kann angepasst werden.</v>
      </c>
      <c r="L21" s="67" t="s">
        <v>31</v>
      </c>
      <c r="M21" s="71" t="str">
        <f t="shared" ca="1" si="0"/>
        <v/>
      </c>
      <c r="N21" s="71" t="str">
        <f t="shared" ca="1" si="1"/>
        <v/>
      </c>
      <c r="O21" s="71" t="str">
        <f t="shared" ca="1" si="2"/>
        <v/>
      </c>
      <c r="P21" s="71" t="str">
        <f t="shared" ca="1" si="3"/>
        <v/>
      </c>
    </row>
    <row r="22" spans="1:22" x14ac:dyDescent="0.2">
      <c r="A22" s="43"/>
      <c r="B22" s="43" t="s">
        <v>27</v>
      </c>
      <c r="C22" s="43"/>
      <c r="D22" s="53">
        <f>(D21/100)*$F$14</f>
        <v>0</v>
      </c>
      <c r="E22" s="43" t="s">
        <v>3</v>
      </c>
      <c r="F22" s="54">
        <f>IF(D22="","",D21+D22)</f>
        <v>1.3</v>
      </c>
      <c r="G22" s="43" t="s">
        <v>3</v>
      </c>
      <c r="H22" s="50">
        <f>IF(D22="","",ROUND(F22/100*$H$5,2))</f>
        <v>0.2</v>
      </c>
      <c r="I22" s="43" t="s">
        <v>4</v>
      </c>
      <c r="K22" s="46"/>
      <c r="L22" s="67" t="s">
        <v>148</v>
      </c>
      <c r="M22" s="71" t="str">
        <f>IF($F$27="","",ROUND($F$27/100*M7,2))</f>
        <v/>
      </c>
      <c r="N22" s="71" t="str">
        <f>IF($F$27="","",ROUND($F$27/100*N7,2))</f>
        <v/>
      </c>
      <c r="O22" s="71" t="str">
        <f>IF($F$27="","",ROUND($F$27/100*O7,2))</f>
        <v/>
      </c>
      <c r="P22" s="71" t="str">
        <f>IF($F$27="","",ROUND($F$27/100*P7,2))</f>
        <v/>
      </c>
    </row>
    <row r="23" spans="1:22" ht="11.25" x14ac:dyDescent="0.2">
      <c r="A23" s="43" t="s">
        <v>28</v>
      </c>
      <c r="B23" s="43" t="s">
        <v>125</v>
      </c>
      <c r="C23" s="43"/>
      <c r="D23" s="3">
        <f>D76</f>
        <v>1.8</v>
      </c>
      <c r="E23" s="43" t="s">
        <v>3</v>
      </c>
      <c r="F23" s="55"/>
      <c r="G23" s="43"/>
      <c r="H23" s="47"/>
      <c r="I23" s="43"/>
      <c r="K23" s="46" t="str">
        <f ca="1">IF(D23&lt;&gt;D76,"Wert prüfen!",IF(H61="","Inhalt der gelben Zellen kann angepasst werden.",""))</f>
        <v>Inhalt der gelben Zellen kann angepasst werden.</v>
      </c>
      <c r="L23" s="66" t="s">
        <v>37</v>
      </c>
      <c r="M23" s="73" t="str">
        <f>IF($F$32="","",ROUND($F$32/100*M7,2))</f>
        <v/>
      </c>
      <c r="N23" s="73" t="str">
        <f t="shared" ref="N23:P23" si="4">IF($F$32="","",ROUND($F$32/100*N7,2))</f>
        <v/>
      </c>
      <c r="O23" s="73" t="str">
        <f t="shared" si="4"/>
        <v/>
      </c>
      <c r="P23" s="73" t="str">
        <f t="shared" si="4"/>
        <v/>
      </c>
      <c r="Q23" s="63"/>
      <c r="R23" s="63"/>
      <c r="S23" s="63"/>
      <c r="T23" s="63"/>
      <c r="U23" s="63"/>
      <c r="V23" s="63"/>
    </row>
    <row r="24" spans="1:22" x14ac:dyDescent="0.2">
      <c r="A24" s="43"/>
      <c r="B24" s="43" t="s">
        <v>29</v>
      </c>
      <c r="C24" s="43"/>
      <c r="D24" s="53">
        <f>(D23/100)*$F$14</f>
        <v>0</v>
      </c>
      <c r="E24" s="43" t="s">
        <v>3</v>
      </c>
      <c r="F24" s="54">
        <f>IF(D24="","",D23+D24)</f>
        <v>1.8</v>
      </c>
      <c r="G24" s="43" t="s">
        <v>3</v>
      </c>
      <c r="H24" s="50">
        <f>IF(D24="","",ROUND(F24/100*$H$5,2))</f>
        <v>0.27</v>
      </c>
      <c r="I24" s="43" t="s">
        <v>4</v>
      </c>
      <c r="K24" s="46"/>
      <c r="L24" s="67" t="s">
        <v>149</v>
      </c>
      <c r="M24" s="71">
        <f ca="1">SUM(M12:M23)</f>
        <v>0</v>
      </c>
      <c r="N24" s="71">
        <f t="shared" ref="N24:P24" ca="1" si="5">SUM(N12:N23)</f>
        <v>0</v>
      </c>
      <c r="O24" s="71">
        <f t="shared" ca="1" si="5"/>
        <v>0</v>
      </c>
      <c r="P24" s="71">
        <f t="shared" ca="1" si="5"/>
        <v>0</v>
      </c>
    </row>
    <row r="25" spans="1:22" ht="11.25" x14ac:dyDescent="0.2">
      <c r="A25" s="43" t="s">
        <v>30</v>
      </c>
      <c r="B25" s="43" t="s">
        <v>126</v>
      </c>
      <c r="C25" s="43"/>
      <c r="D25" s="3"/>
      <c r="E25" s="43" t="s">
        <v>3</v>
      </c>
      <c r="F25" s="55"/>
      <c r="G25" s="43"/>
      <c r="H25" s="47"/>
      <c r="I25" s="43"/>
      <c r="K25" s="46" t="str">
        <f>IF(D25="","Bitte ausfüllen!","")</f>
        <v>Bitte ausfüllen!</v>
      </c>
      <c r="L25" s="67" t="s">
        <v>150</v>
      </c>
      <c r="M25" s="72" t="str">
        <f ca="1">IF(M7="","",(SUM(M12:M23)+M7))</f>
        <v/>
      </c>
      <c r="N25" s="72" t="str">
        <f t="shared" ref="N25:P25" ca="1" si="6">IF(N7="","",(SUM(N12:N23)+N7))</f>
        <v/>
      </c>
      <c r="O25" s="72" t="str">
        <f t="shared" ca="1" si="6"/>
        <v/>
      </c>
      <c r="P25" s="72" t="str">
        <f t="shared" ca="1" si="6"/>
        <v/>
      </c>
    </row>
    <row r="26" spans="1:22" x14ac:dyDescent="0.2">
      <c r="A26" s="43"/>
      <c r="B26" s="43" t="s">
        <v>31</v>
      </c>
      <c r="C26" s="43"/>
      <c r="D26" s="53">
        <f>(D25/100)*$F$14</f>
        <v>0</v>
      </c>
      <c r="E26" s="43" t="s">
        <v>3</v>
      </c>
      <c r="F26" s="54">
        <f>IF(D26="","",D25+D26)</f>
        <v>0</v>
      </c>
      <c r="G26" s="43" t="s">
        <v>3</v>
      </c>
      <c r="H26" s="50">
        <f>IF(D26="","",ROUND(F26/100*$H$5,2))</f>
        <v>0</v>
      </c>
      <c r="I26" s="43" t="s">
        <v>4</v>
      </c>
      <c r="K26" s="46"/>
      <c r="L26" s="67"/>
      <c r="M26" s="67"/>
      <c r="N26" s="67"/>
      <c r="O26" s="67"/>
      <c r="P26" s="67"/>
    </row>
    <row r="27" spans="1:22" ht="11.25" x14ac:dyDescent="0.2">
      <c r="A27" s="43" t="s">
        <v>32</v>
      </c>
      <c r="B27" s="43" t="s">
        <v>127</v>
      </c>
      <c r="C27" s="43"/>
      <c r="D27" s="43"/>
      <c r="E27" s="43"/>
      <c r="F27" s="3"/>
      <c r="G27" s="43" t="s">
        <v>3</v>
      </c>
      <c r="H27" s="50" t="str">
        <f>IF(F27="","",ROUND(F27/100*$H$5,2))</f>
        <v/>
      </c>
      <c r="I27" s="43" t="s">
        <v>4</v>
      </c>
      <c r="K27" s="46" t="str">
        <f>IF(F27="","Bitte ausfüllen!","")</f>
        <v>Bitte ausfüllen!</v>
      </c>
      <c r="L27" s="67" t="s">
        <v>151</v>
      </c>
      <c r="M27" s="74" t="str">
        <f ca="1">IF(M25="","",ROUND($H$61+M25,2))</f>
        <v/>
      </c>
      <c r="N27" s="74" t="str">
        <f t="shared" ref="N27:P27" ca="1" si="7">IF(N25="","",ROUND($H$61+N25,2))</f>
        <v/>
      </c>
      <c r="O27" s="74" t="str">
        <f t="shared" ca="1" si="7"/>
        <v/>
      </c>
      <c r="P27" s="74" t="str">
        <f t="shared" ca="1" si="7"/>
        <v/>
      </c>
    </row>
    <row r="28" spans="1:22" ht="11.25" x14ac:dyDescent="0.2">
      <c r="A28" s="43" t="s">
        <v>33</v>
      </c>
      <c r="B28" s="43" t="s">
        <v>128</v>
      </c>
      <c r="C28" s="43"/>
      <c r="D28" s="43"/>
      <c r="E28" s="43"/>
      <c r="F28" s="3">
        <f>D79</f>
        <v>0.15</v>
      </c>
      <c r="G28" s="43" t="s">
        <v>3</v>
      </c>
      <c r="H28" s="50">
        <f>IF(F28="","",ROUND(F28/100*$H$5,2))</f>
        <v>0.02</v>
      </c>
      <c r="I28" s="43" t="s">
        <v>4</v>
      </c>
      <c r="K28" s="46" t="str">
        <f ca="1">IF(F28&lt;&gt;D79,"Wert prüfen!",IF(H61="","Inhalt der gelben Zellen kann angepasst werden.",""))</f>
        <v>Inhalt der gelben Zellen kann angepasst werden.</v>
      </c>
    </row>
    <row r="29" spans="1:22" ht="25.5" customHeight="1" x14ac:dyDescent="0.2">
      <c r="A29" s="44"/>
      <c r="B29" s="149" t="s">
        <v>34</v>
      </c>
      <c r="C29" s="149"/>
      <c r="D29" s="44"/>
      <c r="E29" s="44"/>
      <c r="F29" s="51">
        <f>IF(SUM(F17:F28)=0,0,SUM(F17:F28)+F14)</f>
        <v>21.3</v>
      </c>
      <c r="G29" s="44" t="s">
        <v>3</v>
      </c>
      <c r="H29" s="52" t="str">
        <f>IF(OR(COUNTIF(D17:D26,"")&gt;0,COUNTIF(F27:F28,"")&gt;0),"",SUM(H17:H28)+H14)</f>
        <v/>
      </c>
      <c r="I29" s="44" t="s">
        <v>4</v>
      </c>
      <c r="K29" s="46" t="str">
        <f>IF(H29="","Angaben offen!","")</f>
        <v>Angaben offen!</v>
      </c>
    </row>
    <row r="30" spans="1:22" x14ac:dyDescent="0.2">
      <c r="A30" s="43"/>
      <c r="B30" s="43"/>
      <c r="C30" s="43"/>
      <c r="D30" s="43"/>
      <c r="E30" s="43"/>
      <c r="F30" s="47"/>
      <c r="G30" s="43"/>
      <c r="H30" s="47"/>
      <c r="I30" s="43"/>
    </row>
    <row r="31" spans="1:22" x14ac:dyDescent="0.2">
      <c r="A31" s="43"/>
      <c r="B31" s="44" t="s">
        <v>35</v>
      </c>
      <c r="C31" s="43"/>
      <c r="D31" s="43"/>
      <c r="E31" s="43"/>
      <c r="F31" s="47"/>
      <c r="G31" s="43"/>
      <c r="H31" s="47"/>
      <c r="I31" s="43"/>
    </row>
    <row r="32" spans="1:22" x14ac:dyDescent="0.2">
      <c r="A32" s="43" t="s">
        <v>36</v>
      </c>
      <c r="B32" s="43" t="s">
        <v>37</v>
      </c>
      <c r="C32" s="43"/>
      <c r="D32" s="43"/>
      <c r="E32" s="43"/>
      <c r="F32" s="3"/>
      <c r="G32" s="43" t="s">
        <v>3</v>
      </c>
      <c r="H32" s="50" t="str">
        <f>IF(F32="","",ROUND(F32/100*$H$5,2))</f>
        <v/>
      </c>
      <c r="I32" s="43" t="s">
        <v>4</v>
      </c>
      <c r="K32" s="46" t="str">
        <f>IF(F32="","Bitte ausfüllen!","")</f>
        <v>Bitte ausfüllen!</v>
      </c>
    </row>
    <row r="33" spans="1:11" x14ac:dyDescent="0.2">
      <c r="A33" s="43" t="s">
        <v>38</v>
      </c>
      <c r="B33" s="43" t="s">
        <v>39</v>
      </c>
      <c r="C33" s="43"/>
      <c r="D33" s="43"/>
      <c r="E33" s="43"/>
      <c r="F33" s="3"/>
      <c r="G33" s="43" t="s">
        <v>3</v>
      </c>
      <c r="H33" s="50" t="str">
        <f>IF(F33="","",ROUND(F33/100*$H$5,2))</f>
        <v/>
      </c>
      <c r="I33" s="43" t="s">
        <v>4</v>
      </c>
      <c r="K33" s="46" t="str">
        <f>IF(F33="","Bitte ausfüllen!","")</f>
        <v>Bitte ausfüllen!</v>
      </c>
    </row>
    <row r="34" spans="1:11" ht="25.5" customHeight="1" x14ac:dyDescent="0.2">
      <c r="A34" s="44"/>
      <c r="B34" s="149" t="s">
        <v>40</v>
      </c>
      <c r="C34" s="149"/>
      <c r="D34" s="44"/>
      <c r="E34" s="44"/>
      <c r="F34" s="51">
        <f>IF(SUM(F32:F33)=0,0,SUM(F32:F33)+F29)</f>
        <v>0</v>
      </c>
      <c r="G34" s="44" t="s">
        <v>3</v>
      </c>
      <c r="H34" s="52" t="str">
        <f>IF(COUNTIF(H32:H33,"")&gt;0,"",SUM(H32:H33)+H29)</f>
        <v/>
      </c>
      <c r="I34" s="44" t="s">
        <v>4</v>
      </c>
      <c r="K34" s="46" t="str">
        <f>IF(H34="","Angaben offen!","")</f>
        <v>Angaben offen!</v>
      </c>
    </row>
    <row r="35" spans="1:11" x14ac:dyDescent="0.2">
      <c r="A35" s="43"/>
      <c r="B35" s="43"/>
      <c r="C35" s="43"/>
      <c r="D35" s="43"/>
      <c r="E35" s="43"/>
      <c r="F35" s="47"/>
      <c r="G35" s="43"/>
      <c r="H35" s="47"/>
      <c r="I35" s="43"/>
    </row>
    <row r="36" spans="1:11" x14ac:dyDescent="0.2">
      <c r="A36" s="44" t="s">
        <v>41</v>
      </c>
      <c r="B36" s="44" t="s">
        <v>42</v>
      </c>
      <c r="C36" s="44"/>
      <c r="D36" s="44"/>
      <c r="E36" s="44"/>
      <c r="F36" s="48"/>
      <c r="G36" s="44"/>
      <c r="H36" s="48"/>
      <c r="I36" s="44"/>
    </row>
    <row r="37" spans="1:11" x14ac:dyDescent="0.2">
      <c r="A37" s="43" t="s">
        <v>43</v>
      </c>
      <c r="B37" s="43" t="s">
        <v>44</v>
      </c>
      <c r="C37" s="43"/>
      <c r="D37" s="43"/>
      <c r="E37" s="43"/>
      <c r="F37" s="47"/>
      <c r="G37" s="43"/>
      <c r="H37" s="47"/>
      <c r="I37" s="43"/>
    </row>
    <row r="38" spans="1:11" x14ac:dyDescent="0.2">
      <c r="A38" s="43"/>
      <c r="B38" s="43" t="s">
        <v>45</v>
      </c>
      <c r="C38" s="43"/>
      <c r="D38" s="43"/>
      <c r="E38" s="43"/>
      <c r="F38" s="3"/>
      <c r="G38" s="43" t="s">
        <v>3</v>
      </c>
      <c r="H38" s="50" t="str">
        <f>IF(F38="","",ROUND(F38/100*$H$5,2))</f>
        <v/>
      </c>
      <c r="I38" s="43" t="s">
        <v>4</v>
      </c>
      <c r="K38" s="46" t="str">
        <f>IF(F38="","Bitte ausfüllen!","")</f>
        <v>Bitte ausfüllen!</v>
      </c>
    </row>
    <row r="39" spans="1:11" x14ac:dyDescent="0.2">
      <c r="A39" s="43" t="s">
        <v>46</v>
      </c>
      <c r="B39" s="43" t="s">
        <v>47</v>
      </c>
      <c r="C39" s="43"/>
      <c r="D39" s="43"/>
      <c r="E39" s="43"/>
      <c r="F39" s="3"/>
      <c r="G39" s="43" t="s">
        <v>3</v>
      </c>
      <c r="H39" s="50" t="str">
        <f>IF(F39="","",ROUND(F39/100*$H$5,2))</f>
        <v/>
      </c>
      <c r="I39" s="43" t="s">
        <v>4</v>
      </c>
      <c r="K39" s="46" t="str">
        <f>IF(F39="","Bitte ausfüllen!","")</f>
        <v>Bitte ausfüllen!</v>
      </c>
    </row>
    <row r="40" spans="1:11" x14ac:dyDescent="0.2">
      <c r="A40" s="43" t="s">
        <v>48</v>
      </c>
      <c r="B40" s="43" t="s">
        <v>49</v>
      </c>
      <c r="C40" s="43"/>
      <c r="D40" s="43"/>
      <c r="E40" s="43"/>
      <c r="F40" s="3"/>
      <c r="G40" s="43" t="s">
        <v>3</v>
      </c>
      <c r="H40" s="50" t="str">
        <f>IF(F40="","",ROUND(F40/100*$H$5,2))</f>
        <v/>
      </c>
      <c r="I40" s="43" t="s">
        <v>4</v>
      </c>
      <c r="K40" s="46" t="str">
        <f>IF(F40="","Bitte ausfüllen!","")</f>
        <v>Bitte ausfüllen!</v>
      </c>
    </row>
    <row r="41" spans="1:11" x14ac:dyDescent="0.2">
      <c r="A41" s="43" t="s">
        <v>50</v>
      </c>
      <c r="B41" s="43" t="s">
        <v>51</v>
      </c>
      <c r="C41" s="43"/>
      <c r="D41" s="43"/>
      <c r="E41" s="43"/>
      <c r="F41" s="3"/>
      <c r="G41" s="43" t="s">
        <v>3</v>
      </c>
      <c r="H41" s="50" t="str">
        <f>IF(F41="","",ROUND(F41/100*$H$5,2))</f>
        <v/>
      </c>
      <c r="I41" s="43" t="s">
        <v>4</v>
      </c>
      <c r="K41" s="46" t="str">
        <f>IF(F41="","Bitte ausfüllen!","")</f>
        <v>Bitte ausfüllen!</v>
      </c>
    </row>
    <row r="42" spans="1:11" ht="25.5" customHeight="1" x14ac:dyDescent="0.2">
      <c r="A42" s="44"/>
      <c r="B42" s="149" t="s">
        <v>52</v>
      </c>
      <c r="C42" s="149"/>
      <c r="D42" s="44"/>
      <c r="E42" s="44"/>
      <c r="F42" s="51">
        <f>IF(SUM(F38:F41)=0,0,SUM(F38:F41))</f>
        <v>0</v>
      </c>
      <c r="G42" s="44" t="s">
        <v>3</v>
      </c>
      <c r="H42" s="52" t="str">
        <f>IF(COUNTIF(H38:H41,"")&gt;0,"",SUM(H38:H41))</f>
        <v/>
      </c>
      <c r="I42" s="44" t="s">
        <v>4</v>
      </c>
      <c r="K42" s="46" t="str">
        <f>IF(H42="","Angaben offen!","")</f>
        <v>Angaben offen!</v>
      </c>
    </row>
    <row r="43" spans="1:11" x14ac:dyDescent="0.2">
      <c r="A43" s="43"/>
      <c r="B43" s="43"/>
      <c r="C43" s="43"/>
      <c r="D43" s="43"/>
      <c r="E43" s="43"/>
      <c r="F43" s="47"/>
      <c r="G43" s="43"/>
      <c r="H43" s="47"/>
      <c r="I43" s="43"/>
    </row>
    <row r="44" spans="1:11" x14ac:dyDescent="0.2">
      <c r="A44" s="44" t="s">
        <v>53</v>
      </c>
      <c r="B44" s="44" t="s">
        <v>54</v>
      </c>
      <c r="C44" s="44"/>
      <c r="D44" s="44"/>
      <c r="E44" s="44"/>
      <c r="F44" s="44"/>
      <c r="G44" s="44"/>
      <c r="H44" s="44"/>
      <c r="I44" s="44"/>
    </row>
    <row r="45" spans="1:11" x14ac:dyDescent="0.2">
      <c r="A45" s="43" t="s">
        <v>55</v>
      </c>
      <c r="B45" s="43" t="s">
        <v>56</v>
      </c>
      <c r="C45" s="43"/>
      <c r="D45" s="43"/>
      <c r="E45" s="43"/>
      <c r="F45" s="43"/>
      <c r="G45" s="43"/>
      <c r="H45" s="43"/>
      <c r="I45" s="43"/>
    </row>
    <row r="46" spans="1:11" x14ac:dyDescent="0.2">
      <c r="A46" s="43" t="s">
        <v>57</v>
      </c>
      <c r="B46" s="43"/>
      <c r="C46" s="43" t="s">
        <v>58</v>
      </c>
      <c r="D46" s="43"/>
      <c r="E46" s="43"/>
      <c r="F46" s="3"/>
      <c r="G46" s="43" t="s">
        <v>3</v>
      </c>
      <c r="H46" s="50" t="str">
        <f>IF(F46="","",ROUND(F46/100*$H$5,2))</f>
        <v/>
      </c>
      <c r="I46" s="43" t="s">
        <v>4</v>
      </c>
      <c r="K46" s="46" t="str">
        <f>IF(F46="","Bitte ausfüllen!","")</f>
        <v>Bitte ausfüllen!</v>
      </c>
    </row>
    <row r="47" spans="1:11" x14ac:dyDescent="0.2">
      <c r="A47" s="43" t="s">
        <v>59</v>
      </c>
      <c r="B47" s="43"/>
      <c r="C47" s="43" t="s">
        <v>121</v>
      </c>
      <c r="D47" s="43"/>
      <c r="E47" s="43"/>
      <c r="F47" s="3"/>
      <c r="G47" s="43" t="s">
        <v>3</v>
      </c>
      <c r="H47" s="50" t="str">
        <f>IF(F47="","",ROUND(F47/100*$H$5,2))</f>
        <v/>
      </c>
      <c r="I47" s="43" t="s">
        <v>4</v>
      </c>
      <c r="K47" s="46" t="str">
        <f>IF(F47="","Bitte ausfüllen!","")</f>
        <v>Bitte ausfüllen!</v>
      </c>
    </row>
    <row r="48" spans="1:11" x14ac:dyDescent="0.2">
      <c r="A48" s="43" t="s">
        <v>60</v>
      </c>
      <c r="B48" s="43" t="s">
        <v>61</v>
      </c>
      <c r="C48" s="43"/>
      <c r="D48" s="43"/>
      <c r="E48" s="43"/>
      <c r="F48" s="3"/>
      <c r="G48" s="43" t="s">
        <v>3</v>
      </c>
      <c r="H48" s="50" t="str">
        <f>IF(F48="","",ROUND(F48/100*$H$5,2))</f>
        <v/>
      </c>
      <c r="I48" s="43" t="s">
        <v>4</v>
      </c>
      <c r="K48" s="46" t="str">
        <f>IF(F48="","Bitte ausfüllen!","")</f>
        <v>Bitte ausfüllen!</v>
      </c>
    </row>
    <row r="49" spans="1:11" x14ac:dyDescent="0.2">
      <c r="A49" s="43" t="s">
        <v>62</v>
      </c>
      <c r="B49" s="43" t="s">
        <v>63</v>
      </c>
      <c r="C49" s="43"/>
      <c r="D49" s="43"/>
      <c r="E49" s="43"/>
      <c r="F49" s="43"/>
      <c r="G49" s="43"/>
      <c r="H49" s="43"/>
      <c r="I49" s="43"/>
    </row>
    <row r="50" spans="1:11" x14ac:dyDescent="0.2">
      <c r="A50" s="43" t="s">
        <v>64</v>
      </c>
      <c r="B50" s="43"/>
      <c r="C50" s="43" t="s">
        <v>65</v>
      </c>
      <c r="D50" s="43"/>
      <c r="E50" s="43"/>
      <c r="F50" s="3"/>
      <c r="G50" s="43" t="s">
        <v>3</v>
      </c>
      <c r="H50" s="50" t="str">
        <f t="shared" ref="H50:H56" si="8">IF(F50="","",ROUND(F50/100*$H$5,2))</f>
        <v/>
      </c>
      <c r="I50" s="43" t="s">
        <v>4</v>
      </c>
      <c r="K50" s="46" t="str">
        <f t="shared" ref="K50:K56" si="9">IF(F50="","Bitte ausfüllen!","")</f>
        <v>Bitte ausfüllen!</v>
      </c>
    </row>
    <row r="51" spans="1:11" x14ac:dyDescent="0.2">
      <c r="A51" s="43" t="s">
        <v>66</v>
      </c>
      <c r="B51" s="43"/>
      <c r="C51" s="43" t="s">
        <v>67</v>
      </c>
      <c r="D51" s="43"/>
      <c r="E51" s="43"/>
      <c r="F51" s="3"/>
      <c r="G51" s="43" t="s">
        <v>3</v>
      </c>
      <c r="H51" s="50" t="str">
        <f t="shared" si="8"/>
        <v/>
      </c>
      <c r="I51" s="43" t="s">
        <v>4</v>
      </c>
      <c r="K51" s="46" t="str">
        <f t="shared" si="9"/>
        <v>Bitte ausfüllen!</v>
      </c>
    </row>
    <row r="52" spans="1:11" x14ac:dyDescent="0.2">
      <c r="A52" s="43" t="s">
        <v>68</v>
      </c>
      <c r="B52" s="43" t="s">
        <v>69</v>
      </c>
      <c r="C52" s="43"/>
      <c r="D52" s="43"/>
      <c r="E52" s="43"/>
      <c r="F52" s="3"/>
      <c r="G52" s="43" t="s">
        <v>3</v>
      </c>
      <c r="H52" s="50" t="str">
        <f t="shared" si="8"/>
        <v/>
      </c>
      <c r="I52" s="43" t="s">
        <v>4</v>
      </c>
      <c r="K52" s="46" t="str">
        <f t="shared" si="9"/>
        <v>Bitte ausfüllen!</v>
      </c>
    </row>
    <row r="53" spans="1:11" x14ac:dyDescent="0.2">
      <c r="A53" s="43" t="s">
        <v>70</v>
      </c>
      <c r="B53" s="43" t="s">
        <v>71</v>
      </c>
      <c r="C53" s="43"/>
      <c r="D53" s="43"/>
      <c r="E53" s="43"/>
      <c r="F53" s="3"/>
      <c r="G53" s="43" t="s">
        <v>3</v>
      </c>
      <c r="H53" s="50" t="str">
        <f t="shared" si="8"/>
        <v/>
      </c>
      <c r="I53" s="43" t="s">
        <v>4</v>
      </c>
      <c r="K53" s="46" t="str">
        <f t="shared" si="9"/>
        <v>Bitte ausfüllen!</v>
      </c>
    </row>
    <row r="54" spans="1:11" x14ac:dyDescent="0.2">
      <c r="A54" s="43" t="s">
        <v>72</v>
      </c>
      <c r="B54" s="43" t="s">
        <v>73</v>
      </c>
      <c r="C54" s="43"/>
      <c r="D54" s="43"/>
      <c r="E54" s="43"/>
      <c r="F54" s="3"/>
      <c r="G54" s="43" t="s">
        <v>3</v>
      </c>
      <c r="H54" s="50" t="str">
        <f t="shared" si="8"/>
        <v/>
      </c>
      <c r="I54" s="43" t="s">
        <v>4</v>
      </c>
      <c r="K54" s="46" t="str">
        <f t="shared" si="9"/>
        <v>Bitte ausfüllen!</v>
      </c>
    </row>
    <row r="55" spans="1:11" x14ac:dyDescent="0.2">
      <c r="A55" s="43" t="s">
        <v>74</v>
      </c>
      <c r="B55" s="43" t="s">
        <v>75</v>
      </c>
      <c r="C55" s="43"/>
      <c r="D55" s="43"/>
      <c r="E55" s="43"/>
      <c r="F55" s="3"/>
      <c r="G55" s="43" t="s">
        <v>3</v>
      </c>
      <c r="H55" s="50" t="str">
        <f t="shared" si="8"/>
        <v/>
      </c>
      <c r="I55" s="43" t="s">
        <v>4</v>
      </c>
      <c r="K55" s="46" t="str">
        <f t="shared" si="9"/>
        <v>Bitte ausfüllen!</v>
      </c>
    </row>
    <row r="56" spans="1:11" x14ac:dyDescent="0.2">
      <c r="A56" s="43" t="s">
        <v>76</v>
      </c>
      <c r="B56" s="43" t="s">
        <v>77</v>
      </c>
      <c r="C56" s="43"/>
      <c r="D56" s="43"/>
      <c r="E56" s="43"/>
      <c r="F56" s="3"/>
      <c r="G56" s="43" t="s">
        <v>3</v>
      </c>
      <c r="H56" s="50" t="str">
        <f t="shared" si="8"/>
        <v/>
      </c>
      <c r="I56" s="43" t="s">
        <v>4</v>
      </c>
      <c r="K56" s="46" t="str">
        <f t="shared" si="9"/>
        <v>Bitte ausfüllen!</v>
      </c>
    </row>
    <row r="57" spans="1:11" ht="25.5" customHeight="1" x14ac:dyDescent="0.2">
      <c r="A57" s="44"/>
      <c r="B57" s="149" t="s">
        <v>78</v>
      </c>
      <c r="C57" s="149"/>
      <c r="D57" s="44"/>
      <c r="E57" s="44"/>
      <c r="F57" s="51">
        <f>IF(SUM(F45:F56)=0,0,SUM(F45:F56))</f>
        <v>0</v>
      </c>
      <c r="G57" s="44" t="s">
        <v>3</v>
      </c>
      <c r="H57" s="52" t="str">
        <f>IF(COUNTIF(H46:H56,"")&gt;1,"",SUM(H46:H56))</f>
        <v/>
      </c>
      <c r="I57" s="44" t="s">
        <v>4</v>
      </c>
      <c r="K57" s="46" t="str">
        <f>IF(H57="","Angaben offen!","")</f>
        <v>Angaben offen!</v>
      </c>
    </row>
    <row r="58" spans="1:11" x14ac:dyDescent="0.2">
      <c r="A58" s="43"/>
      <c r="B58" s="43"/>
      <c r="C58" s="43"/>
      <c r="D58" s="43"/>
      <c r="E58" s="43"/>
      <c r="F58" s="47"/>
      <c r="G58" s="43"/>
      <c r="H58" s="47"/>
      <c r="I58" s="43"/>
    </row>
    <row r="59" spans="1:11" x14ac:dyDescent="0.2">
      <c r="A59" s="44" t="s">
        <v>79</v>
      </c>
      <c r="B59" s="148" t="s">
        <v>80</v>
      </c>
      <c r="C59" s="148"/>
      <c r="D59" s="44"/>
      <c r="E59" s="44"/>
      <c r="F59" s="56">
        <f>IF(AND(F34=""),0,F34+F42+F57+F5)</f>
        <v>100</v>
      </c>
      <c r="G59" s="44" t="s">
        <v>3</v>
      </c>
      <c r="H59" s="48" t="str">
        <f>IF(H57="","",H34+H42+H57+H5)</f>
        <v/>
      </c>
      <c r="I59" s="44" t="s">
        <v>4</v>
      </c>
    </row>
    <row r="60" spans="1:11" x14ac:dyDescent="0.2">
      <c r="A60" s="44" t="s">
        <v>81</v>
      </c>
      <c r="B60" s="44" t="s">
        <v>82</v>
      </c>
      <c r="C60" s="44"/>
      <c r="D60" s="44"/>
      <c r="E60" s="44"/>
      <c r="F60" s="3"/>
      <c r="G60" s="44" t="s">
        <v>3</v>
      </c>
      <c r="H60" s="52" t="str">
        <f>IF(F60="","",ROUND(F60/100*H59,2))</f>
        <v/>
      </c>
      <c r="I60" s="44" t="s">
        <v>4</v>
      </c>
      <c r="K60" s="46" t="str">
        <f>IF(F60="","Bitte ausfüllen!","")</f>
        <v>Bitte ausfüllen!</v>
      </c>
    </row>
    <row r="61" spans="1:11" x14ac:dyDescent="0.2">
      <c r="A61" s="44"/>
      <c r="B61" s="44" t="s">
        <v>83</v>
      </c>
      <c r="C61" s="44"/>
      <c r="D61" s="44"/>
      <c r="E61" s="44"/>
      <c r="F61" s="51">
        <f ca="1">IF(H61="",0,H61/H5*100)</f>
        <v>0</v>
      </c>
      <c r="G61" s="44" t="s">
        <v>3</v>
      </c>
      <c r="H61" s="52" t="str">
        <f ca="1">IF(SUM(COUNTIF(INDIRECT({"H5","F9:F13","D17:D26","F27:F28","F32:F33","F38:F41","F46:F48","F50:F56","F60","H65:H68"}),""))&gt;0,"",H59+H60)</f>
        <v/>
      </c>
      <c r="I61" s="44" t="s">
        <v>4</v>
      </c>
      <c r="K61" s="46" t="str" cm="1">
        <f t="array" aca="1" ref="K61" ca="1">IF(SUM(COUNTIF(INDIRECT({"H5","F9:F13","D17:D26","F27:F28","F32:F33","F38:F41","F46:F48","F50:F56","F60","H65:H68","M3:P3"}),""))&gt;0,SUM(COUNTIF(INDIRECT({"H5","F9:F13","D17:D26","F27:F28","F32:F33","F38:F41","F46:F48","F50:F56","F60","H65:H68","M3:P3"}),"")) &amp;" Zelle(n) ohne Wert!","")</f>
        <v>28 Zelle(n) ohne Wert!</v>
      </c>
    </row>
    <row r="62" spans="1:11" x14ac:dyDescent="0.2">
      <c r="A62" s="43"/>
      <c r="B62" s="43" t="s">
        <v>84</v>
      </c>
      <c r="C62" s="43"/>
      <c r="D62" s="43"/>
      <c r="E62" s="43"/>
      <c r="F62" s="51">
        <f ca="1">IF(F61=0,0,F61-F5)</f>
        <v>0</v>
      </c>
      <c r="G62" s="43" t="s">
        <v>3</v>
      </c>
      <c r="H62" s="43"/>
      <c r="I62" s="43"/>
      <c r="K62" s="46" t="str">
        <f ca="1">IF(F62&lt;70,"Bitte prüfen gemäß Aufforderung!","")</f>
        <v>Bitte prüfen gemäß Aufforderung!</v>
      </c>
    </row>
    <row r="63" spans="1:11" x14ac:dyDescent="0.2">
      <c r="A63" s="43"/>
      <c r="B63" s="43"/>
      <c r="C63" s="43"/>
      <c r="D63" s="43"/>
      <c r="E63" s="43"/>
      <c r="F63" s="43"/>
      <c r="G63" s="43"/>
      <c r="H63" s="43"/>
      <c r="I63" s="43"/>
    </row>
    <row r="64" spans="1:11" x14ac:dyDescent="0.2">
      <c r="B64" s="44" t="s">
        <v>85</v>
      </c>
      <c r="D64" s="44"/>
      <c r="E64" s="44"/>
      <c r="G64" s="44"/>
      <c r="H64" s="48" t="s">
        <v>86</v>
      </c>
    </row>
    <row r="65" spans="1:11" x14ac:dyDescent="0.2">
      <c r="B65" s="43" t="s">
        <v>87</v>
      </c>
      <c r="D65" s="43"/>
      <c r="E65" s="43"/>
      <c r="G65" s="57"/>
      <c r="H65" s="4"/>
      <c r="K65" s="46" t="str">
        <f>IF(H65="","Bitte ausfüllen!","")</f>
        <v>Bitte ausfüllen!</v>
      </c>
    </row>
    <row r="66" spans="1:11" x14ac:dyDescent="0.2">
      <c r="B66" s="43" t="s">
        <v>88</v>
      </c>
      <c r="D66" s="43"/>
      <c r="E66" s="43"/>
      <c r="G66" s="57"/>
      <c r="H66" s="5"/>
      <c r="K66" s="46" t="str">
        <f>IF(H66="","Bitte ausfüllen!","")</f>
        <v>Bitte ausfüllen!</v>
      </c>
    </row>
    <row r="67" spans="1:11" x14ac:dyDescent="0.2">
      <c r="B67" s="43" t="s">
        <v>89</v>
      </c>
      <c r="D67" s="43"/>
      <c r="E67" s="43"/>
      <c r="G67" s="57"/>
      <c r="H67" s="6"/>
      <c r="K67" s="46" t="str">
        <f>IF(H67="","Bitte ausfüllen!","")</f>
        <v>Bitte ausfüllen!</v>
      </c>
    </row>
    <row r="68" spans="1:11" x14ac:dyDescent="0.2">
      <c r="B68" s="43" t="s">
        <v>90</v>
      </c>
      <c r="D68" s="43"/>
      <c r="E68" s="43"/>
      <c r="G68" s="57"/>
      <c r="H68" s="5"/>
      <c r="K68" s="46" t="str">
        <f>IF(H68="","Bitte ausfüllen!","")</f>
        <v>Bitte ausfüllen!</v>
      </c>
    </row>
    <row r="70" spans="1:11" x14ac:dyDescent="0.2">
      <c r="C70" s="19"/>
      <c r="D70" s="15"/>
    </row>
    <row r="71" spans="1:11" ht="15.95" customHeight="1" x14ac:dyDescent="0.2">
      <c r="A71" s="139" t="s">
        <v>209</v>
      </c>
      <c r="B71" s="139"/>
      <c r="C71" s="139"/>
      <c r="D71" s="139" t="s">
        <v>212</v>
      </c>
      <c r="F71" s="141" t="s">
        <v>134</v>
      </c>
      <c r="G71" s="142"/>
      <c r="H71" s="143"/>
    </row>
    <row r="72" spans="1:11" ht="15.95" customHeight="1" x14ac:dyDescent="0.2">
      <c r="A72" s="140"/>
      <c r="B72" s="140"/>
      <c r="C72" s="140"/>
      <c r="D72" s="140"/>
      <c r="F72" s="144"/>
      <c r="G72" s="145"/>
      <c r="H72" s="146"/>
      <c r="I72" s="44"/>
      <c r="J72" s="44"/>
      <c r="K72" s="44"/>
    </row>
    <row r="73" spans="1:11" ht="19.899999999999999" customHeight="1" x14ac:dyDescent="0.2">
      <c r="A73" s="137">
        <v>1</v>
      </c>
      <c r="B73" s="137"/>
      <c r="C73" s="60" t="s">
        <v>129</v>
      </c>
      <c r="D73" s="61">
        <v>7.3</v>
      </c>
      <c r="F73" s="138" t="s">
        <v>399</v>
      </c>
      <c r="G73" s="138"/>
      <c r="H73" s="138"/>
    </row>
    <row r="74" spans="1:11" ht="19.899999999999999" customHeight="1" x14ac:dyDescent="0.2">
      <c r="A74" s="137">
        <v>2</v>
      </c>
      <c r="B74" s="137"/>
      <c r="C74" s="60" t="s">
        <v>130</v>
      </c>
      <c r="D74" s="61">
        <v>9.3000000000000007</v>
      </c>
    </row>
    <row r="75" spans="1:11" ht="24" customHeight="1" x14ac:dyDescent="0.2">
      <c r="A75" s="137">
        <v>3</v>
      </c>
      <c r="B75" s="137"/>
      <c r="C75" s="60" t="s">
        <v>131</v>
      </c>
      <c r="D75" s="61">
        <v>1.3</v>
      </c>
    </row>
    <row r="76" spans="1:11" ht="24" customHeight="1" x14ac:dyDescent="0.2">
      <c r="A76" s="137">
        <v>4</v>
      </c>
      <c r="B76" s="137"/>
      <c r="C76" s="60" t="s">
        <v>132</v>
      </c>
      <c r="D76" s="61">
        <f>IF( F73="Sachsen",1.3,1.8)</f>
        <v>1.8</v>
      </c>
    </row>
    <row r="77" spans="1:11" ht="31.5" x14ac:dyDescent="0.2">
      <c r="A77" s="137">
        <v>5</v>
      </c>
      <c r="B77" s="137"/>
      <c r="C77" s="60" t="s">
        <v>213</v>
      </c>
      <c r="D77" s="61">
        <v>1.45</v>
      </c>
    </row>
    <row r="78" spans="1:11" ht="24" customHeight="1" x14ac:dyDescent="0.2">
      <c r="A78" s="137">
        <v>6</v>
      </c>
      <c r="B78" s="137"/>
      <c r="C78" s="60" t="s">
        <v>119</v>
      </c>
      <c r="D78" s="61"/>
    </row>
    <row r="79" spans="1:11" ht="24" customHeight="1" x14ac:dyDescent="0.2">
      <c r="A79" s="137">
        <v>7</v>
      </c>
      <c r="B79" s="137"/>
      <c r="C79" s="60" t="s">
        <v>133</v>
      </c>
      <c r="D79" s="61">
        <v>0.15</v>
      </c>
    </row>
  </sheetData>
  <sheetProtection algorithmName="SHA-512" hashValue="1ir1ACDg838NZI412GIBm+iwMSJS8wH7BypMSUNeYkLJxKENgEFK5ur7DjukmsLkPhA9YXLFfG5O5sZ1Y+9KDQ==" saltValue="DtctcUDBH+a8KnpSVyKN5A==" spinCount="100000" sheet="1" objects="1" scenarios="1"/>
  <mergeCells count="18">
    <mergeCell ref="E1:H2"/>
    <mergeCell ref="A3:I3"/>
    <mergeCell ref="B29:C29"/>
    <mergeCell ref="B34:C34"/>
    <mergeCell ref="B42:C42"/>
    <mergeCell ref="A71:C72"/>
    <mergeCell ref="D71:D72"/>
    <mergeCell ref="F71:H72"/>
    <mergeCell ref="B57:C57"/>
    <mergeCell ref="B59:C59"/>
    <mergeCell ref="A79:B79"/>
    <mergeCell ref="A73:B73"/>
    <mergeCell ref="F73:H73"/>
    <mergeCell ref="A74:B74"/>
    <mergeCell ref="A75:B75"/>
    <mergeCell ref="A76:B76"/>
    <mergeCell ref="A77:B77"/>
    <mergeCell ref="A78:B78"/>
  </mergeCells>
  <dataValidations count="1">
    <dataValidation type="decimal" errorStyle="warning" allowBlank="1" showInputMessage="1" showErrorMessage="1" error="Bitte überprüfen Sie Ihre Eingaben." sqref="C25" xr:uid="{00000000-0002-0000-0600-000000000000}">
      <formula1>8.5</formula1>
      <formula2>84</formula2>
    </dataValidation>
  </dataValidations>
  <hyperlinks>
    <hyperlink ref="M1" location="Inhaltsverzeichnis!A1" display="Zurück zum Inhaltsverzeichnis" xr:uid="{00000000-0004-0000-0600-000000000000}"/>
  </hyperlinks>
  <printOptions horizontalCentered="1"/>
  <pageMargins left="0.78740157480314965" right="0.78740157480314965" top="0.98425196850393704" bottom="0.98425196850393704" header="0.51181102362204722" footer="0.51181102362204722"/>
  <pageSetup paperSize="9" scale="60" fitToWidth="0" fitToHeight="0" orientation="portrait" r:id="rId1"/>
  <headerFooter alignWithMargins="0">
    <oddHeader>&amp;L&amp;F</oddHeader>
    <oddFooter>&amp;LStadt Königs Wusterhausen&amp;CSeite &amp;P von &amp;N&amp;RSVS Sonderreinigung</oddFooter>
  </headerFooter>
  <rowBreaks count="1" manualBreakCount="1">
    <brk id="79" max="16383" man="1"/>
  </rowBreaks>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9699" r:id="rId4" name="Check Box 3">
              <controlPr defaultSize="0" autoFill="0" autoLine="0" autoPict="0" altText="Hinweis">
                <anchor moveWithCells="1">
                  <from>
                    <xdr:col>2</xdr:col>
                    <xdr:colOff>2905125</xdr:colOff>
                    <xdr:row>0</xdr:row>
                    <xdr:rowOff>142875</xdr:rowOff>
                  </from>
                  <to>
                    <xdr:col>3</xdr:col>
                    <xdr:colOff>542925</xdr:colOff>
                    <xdr:row>1</xdr:row>
                    <xdr:rowOff>0</xdr:rowOff>
                  </to>
                </anchor>
              </controlPr>
            </control>
          </mc:Choice>
        </mc:AlternateContent>
        <mc:AlternateContent xmlns:mc="http://schemas.openxmlformats.org/markup-compatibility/2006">
          <mc:Choice Requires="x14">
            <control shapeId="29700" r:id="rId5" name="Check Box 4">
              <controlPr defaultSize="0" autoFill="0" autoLine="0" autoPict="0" altText="Hinweis">
                <anchor moveWithCells="1">
                  <from>
                    <xdr:col>2</xdr:col>
                    <xdr:colOff>2905125</xdr:colOff>
                    <xdr:row>1</xdr:row>
                    <xdr:rowOff>19050</xdr:rowOff>
                  </from>
                  <to>
                    <xdr:col>3</xdr:col>
                    <xdr:colOff>542925</xdr:colOff>
                    <xdr:row>1</xdr:row>
                    <xdr:rowOff>304800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7988-FCCE-4182-AC5F-8AFB76356EB7}">
  <sheetPr>
    <tabColor indexed="40"/>
  </sheetPr>
  <dimension ref="A1:V156"/>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7109375" style="16" customWidth="1"/>
    <col min="2" max="2" width="7.7109375" style="16" customWidth="1"/>
    <col min="3" max="3" width="6.7109375" style="16" customWidth="1"/>
    <col min="4" max="4" width="9.7109375" style="16" customWidth="1"/>
    <col min="5" max="5" width="21.7109375" style="16" customWidth="1"/>
    <col min="6" max="6" width="13.5703125" style="16" bestFit="1"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2.140625" style="16" customWidth="1"/>
    <col min="14" max="14" width="9.42578125" style="16" customWidth="1"/>
    <col min="15" max="15" width="8.42578125" style="16" customWidth="1"/>
    <col min="16" max="17" width="11.42578125" style="16" customWidth="1"/>
    <col min="18" max="19" width="11.28515625" style="16" customWidth="1"/>
    <col min="20" max="20" width="22.28515625" style="16" customWidth="1"/>
    <col min="21" max="16384" width="11.42578125" style="16" hidden="1"/>
  </cols>
  <sheetData>
    <row r="1" spans="1:22" ht="15" customHeight="1" x14ac:dyDescent="0.2">
      <c r="M1" s="1" t="s">
        <v>100</v>
      </c>
    </row>
    <row r="2" spans="1:22" ht="21" customHeight="1" x14ac:dyDescent="0.2">
      <c r="A2" s="167" t="s">
        <v>172</v>
      </c>
      <c r="B2" s="168"/>
      <c r="C2" s="168"/>
      <c r="D2" s="168" t="b">
        <v>0</v>
      </c>
      <c r="E2" s="169"/>
      <c r="G2" s="170" t="s">
        <v>185</v>
      </c>
      <c r="H2" s="170" t="s">
        <v>177</v>
      </c>
      <c r="I2" s="170" t="s">
        <v>178</v>
      </c>
      <c r="J2" s="170" t="s">
        <v>197</v>
      </c>
      <c r="M2" s="8"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2" ht="21" customHeight="1" x14ac:dyDescent="0.2">
      <c r="A3" s="75" t="s">
        <v>173</v>
      </c>
      <c r="B3" s="76"/>
      <c r="C3" s="76"/>
      <c r="D3" s="76"/>
      <c r="E3" s="77"/>
      <c r="G3" s="171"/>
      <c r="H3" s="171" t="b">
        <v>0</v>
      </c>
      <c r="I3" s="171"/>
      <c r="J3" s="171"/>
      <c r="M3" s="8" t="b">
        <v>0</v>
      </c>
      <c r="N3" s="129"/>
      <c r="O3" s="129"/>
      <c r="P3" s="129"/>
      <c r="Q3" s="129"/>
    </row>
    <row r="4" spans="1:22" ht="15" customHeight="1" x14ac:dyDescent="0.2">
      <c r="A4" s="165" t="s">
        <v>91</v>
      </c>
      <c r="B4" s="153" t="str">
        <f>IF(Inhaltsverzeichnis!C3="","",Inhaltsverzeichnis!C3)</f>
        <v/>
      </c>
      <c r="C4" s="154"/>
      <c r="D4" s="154"/>
      <c r="E4" s="155"/>
      <c r="G4" s="78" t="s">
        <v>314</v>
      </c>
      <c r="H4" s="91"/>
      <c r="I4" s="79">
        <f ca="1">SUMIF('Kal Unter GS Zeesen'!J22:M156,$G$4,'Kal Unter GS Zeesen'!M22:M156)</f>
        <v>12635.109999999999</v>
      </c>
      <c r="J4" s="23">
        <f>COUNTIFS('Kal Unter GS Zeesen'!J22:M156,$G$4)</f>
        <v>5</v>
      </c>
      <c r="M4" s="8" t="b">
        <v>0</v>
      </c>
      <c r="N4" s="129"/>
      <c r="O4" s="129"/>
      <c r="P4" s="129"/>
      <c r="Q4" s="129"/>
      <c r="U4" s="78" t="s">
        <v>314</v>
      </c>
      <c r="V4" s="16">
        <v>195</v>
      </c>
    </row>
    <row r="5" spans="1:22" ht="15" customHeight="1" x14ac:dyDescent="0.2">
      <c r="A5" s="166"/>
      <c r="B5" s="156"/>
      <c r="C5" s="157"/>
      <c r="D5" s="157"/>
      <c r="E5" s="158"/>
      <c r="G5" s="78" t="s">
        <v>309</v>
      </c>
      <c r="H5" s="91"/>
      <c r="I5" s="79">
        <f ca="1">SUMIF('Kal Unter GS Zeesen'!J22:M156,$G$5,'Kal Unter GS Zeesen'!M22:M156)</f>
        <v>16027.810000000001</v>
      </c>
      <c r="J5" s="23">
        <f>COUNTIFS('Kal Unter GS Zeesen'!J22:M156,$G$5)</f>
        <v>18</v>
      </c>
      <c r="M5" s="8" t="b">
        <v>0</v>
      </c>
      <c r="N5" s="129"/>
      <c r="O5" s="129"/>
      <c r="P5" s="129"/>
      <c r="Q5" s="129"/>
      <c r="U5" s="78" t="s">
        <v>309</v>
      </c>
      <c r="V5" s="16">
        <v>215</v>
      </c>
    </row>
    <row r="6" spans="1:22" ht="15" customHeight="1" x14ac:dyDescent="0.2">
      <c r="A6" s="80" t="s">
        <v>195</v>
      </c>
      <c r="B6" s="159" t="s">
        <v>215</v>
      </c>
      <c r="C6" s="160"/>
      <c r="D6" s="160"/>
      <c r="E6" s="161"/>
      <c r="G6" s="78" t="s">
        <v>311</v>
      </c>
      <c r="H6" s="91"/>
      <c r="I6" s="79">
        <f ca="1">SUMIF('Kal Unter GS Zeesen'!J22:M156,$G$6,'Kal Unter GS Zeesen'!M22:M156)</f>
        <v>32107.14</v>
      </c>
      <c r="J6" s="23">
        <f>COUNTIFS('Kal Unter GS Zeesen'!J22:M156,$G$6)</f>
        <v>6</v>
      </c>
      <c r="U6" s="78" t="s">
        <v>311</v>
      </c>
      <c r="V6" s="16">
        <v>170</v>
      </c>
    </row>
    <row r="7" spans="1:22" ht="15" customHeight="1" x14ac:dyDescent="0.2">
      <c r="A7" s="81" t="s">
        <v>193</v>
      </c>
      <c r="B7" s="162" t="s">
        <v>216</v>
      </c>
      <c r="C7" s="160"/>
      <c r="D7" s="160"/>
      <c r="E7" s="161"/>
      <c r="G7" s="78" t="s">
        <v>312</v>
      </c>
      <c r="H7" s="91"/>
      <c r="I7" s="79">
        <f ca="1">SUMIF('Kal Unter GS Zeesen'!J22:M156,$G$7,'Kal Unter GS Zeesen'!M22:M156)</f>
        <v>38707.109999999993</v>
      </c>
      <c r="J7" s="23">
        <f>COUNTIFS('Kal Unter GS Zeesen'!J22:M156,$G$7)</f>
        <v>21</v>
      </c>
      <c r="U7" s="78" t="s">
        <v>312</v>
      </c>
      <c r="V7" s="16">
        <v>75</v>
      </c>
    </row>
    <row r="8" spans="1:22" ht="15" customHeight="1" x14ac:dyDescent="0.2">
      <c r="A8" s="81" t="s">
        <v>194</v>
      </c>
      <c r="B8" s="159"/>
      <c r="C8" s="160"/>
      <c r="D8" s="160"/>
      <c r="E8" s="161"/>
      <c r="G8" s="78" t="s">
        <v>317</v>
      </c>
      <c r="H8" s="91"/>
      <c r="I8" s="79">
        <f ca="1">SUMIF('Kal Unter GS Zeesen'!J22:M156,$G$8,'Kal Unter GS Zeesen'!M22:M156)</f>
        <v>79380</v>
      </c>
      <c r="J8" s="23">
        <f>COUNTIFS('Kal Unter GS Zeesen'!J22:M156,$G$8)</f>
        <v>1</v>
      </c>
      <c r="U8" s="78" t="s">
        <v>317</v>
      </c>
      <c r="V8" s="16">
        <v>450</v>
      </c>
    </row>
    <row r="9" spans="1:22" ht="15" customHeight="1" x14ac:dyDescent="0.2">
      <c r="A9" s="80" t="s">
        <v>192</v>
      </c>
      <c r="B9" s="163" t="s">
        <v>214</v>
      </c>
      <c r="C9" s="160"/>
      <c r="D9" s="160"/>
      <c r="E9" s="161"/>
      <c r="G9" s="78" t="s">
        <v>310</v>
      </c>
      <c r="H9" s="91"/>
      <c r="I9" s="79">
        <f ca="1">SUMIF('Kal Unter GS Zeesen'!J22:M156,$G$9,'Kal Unter GS Zeesen'!M22:M156)</f>
        <v>1722.24</v>
      </c>
      <c r="J9" s="23">
        <f>COUNTIFS('Kal Unter GS Zeesen'!J22:M156,$G$9)</f>
        <v>25</v>
      </c>
      <c r="U9" s="78" t="s">
        <v>310</v>
      </c>
      <c r="V9" s="16">
        <v>300</v>
      </c>
    </row>
    <row r="10" spans="1:22" ht="15" customHeight="1" x14ac:dyDescent="0.2">
      <c r="A10" s="81" t="s">
        <v>174</v>
      </c>
      <c r="B10" s="159" t="s">
        <v>217</v>
      </c>
      <c r="C10" s="160"/>
      <c r="D10" s="160"/>
      <c r="E10" s="161"/>
      <c r="G10" s="78" t="s">
        <v>307</v>
      </c>
      <c r="H10" s="91"/>
      <c r="I10" s="79">
        <f ca="1">SUMIF('Kal Unter GS Zeesen'!J22:M156,$G$10,'Kal Unter GS Zeesen'!M22:M156)</f>
        <v>79783.760000000009</v>
      </c>
      <c r="J10" s="23">
        <f>COUNTIFS('Kal Unter GS Zeesen'!J22:M156,$G$10)</f>
        <v>12</v>
      </c>
      <c r="U10" s="78" t="s">
        <v>307</v>
      </c>
      <c r="V10" s="16">
        <v>165</v>
      </c>
    </row>
    <row r="11" spans="1:22" ht="15" customHeight="1" x14ac:dyDescent="0.2">
      <c r="A11" s="81" t="s">
        <v>175</v>
      </c>
      <c r="B11" s="164" t="s">
        <v>218</v>
      </c>
      <c r="C11" s="160"/>
      <c r="D11" s="160"/>
      <c r="E11" s="161"/>
      <c r="G11" s="78" t="s">
        <v>316</v>
      </c>
      <c r="H11" s="91"/>
      <c r="I11" s="79">
        <f ca="1">SUMIF('Kal Unter GS Zeesen'!J22:M156,$G$11,'Kal Unter GS Zeesen'!M22:M156)</f>
        <v>4960.76</v>
      </c>
      <c r="J11" s="23">
        <f>COUNTIFS('Kal Unter GS Zeesen'!J22:M156,$G$11)</f>
        <v>3</v>
      </c>
      <c r="M11" s="16" t="str">
        <f>IF(N13&gt;0,"Bitte die Leistungswerte im Leistungsverzeichnis/ Tabellenblatt Leistungsrichtwerte","")</f>
        <v/>
      </c>
      <c r="U11" s="78" t="s">
        <v>316</v>
      </c>
      <c r="V11" s="16">
        <v>220</v>
      </c>
    </row>
    <row r="12" spans="1:22" ht="15" customHeight="1" x14ac:dyDescent="0.2">
      <c r="A12" s="81" t="s">
        <v>176</v>
      </c>
      <c r="B12" s="159" t="s">
        <v>219</v>
      </c>
      <c r="C12" s="160"/>
      <c r="D12" s="160"/>
      <c r="E12" s="161"/>
      <c r="G12" s="78" t="s">
        <v>308</v>
      </c>
      <c r="H12" s="91"/>
      <c r="I12" s="79">
        <f ca="1">SUMIF('Kal Unter GS Zeesen'!J22:M156,$G$12,'Kal Unter GS Zeesen'!M22:M156)</f>
        <v>172620.34999999998</v>
      </c>
      <c r="J12" s="23">
        <f>COUNTIFS('Kal Unter GS Zeesen'!J22:M156,$G$12)</f>
        <v>23</v>
      </c>
      <c r="M12" s="16" t="str">
        <f>IF(N13&gt;0,"für die Objektart prüfen.","")</f>
        <v/>
      </c>
      <c r="U12" s="78" t="s">
        <v>308</v>
      </c>
      <c r="V12" s="16">
        <v>240</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78" t="s">
        <v>313</v>
      </c>
      <c r="H13" s="91"/>
      <c r="I13" s="79">
        <f ca="1">SUMIF('Kal Unter GS Zeesen'!J22:M156,$G$13,'Kal Unter GS Zeesen'!M22:M156)</f>
        <v>234127.88</v>
      </c>
      <c r="J13" s="23">
        <f>COUNTIFS('Kal Unter GS Zeesen'!J22:M156,$G$13)</f>
        <v>15</v>
      </c>
      <c r="N13" s="82">
        <f>COUNTIF(V22:V$156,1)</f>
        <v>0</v>
      </c>
      <c r="O13" s="16" t="str">
        <f>IF(N13&gt;0,"Wert(e) überschritten, bitte mit dem Angebot plausibel darlegen.","")</f>
        <v/>
      </c>
      <c r="U13" s="78" t="s">
        <v>313</v>
      </c>
      <c r="V13" s="16">
        <v>450</v>
      </c>
    </row>
    <row r="14" spans="1:22" ht="15" customHeight="1" x14ac:dyDescent="0.2">
      <c r="G14" s="78" t="s">
        <v>315</v>
      </c>
      <c r="H14" s="91"/>
      <c r="I14" s="79">
        <f ca="1">SUMIF('Kal Unter GS Zeesen'!J22:M156,$G$14,'Kal Unter GS Zeesen'!M22:M156)</f>
        <v>70759.920000000013</v>
      </c>
      <c r="J14" s="23">
        <f>COUNTIFS('Kal Unter GS Zeesen'!J22:M156,$G$14)</f>
        <v>6</v>
      </c>
      <c r="N14" s="83">
        <f>COUNTIF(V22:V$156,0)</f>
        <v>135</v>
      </c>
      <c r="O14" s="16" t="str">
        <f>IF(N14&gt;0,"Wert(e) korrekt","")</f>
        <v>Wert(e) korrekt</v>
      </c>
      <c r="T14" s="84">
        <f>IF(COUNTA($T$22:$T$156)-COUNTBLANK($T$22:$T$156)=0,"",COUNTA($T$22:$T$156)-COUNTBLANK($T$22:$T$156))</f>
        <v>113</v>
      </c>
      <c r="U14" s="78" t="s">
        <v>315</v>
      </c>
      <c r="V14" s="16">
        <v>115</v>
      </c>
    </row>
    <row r="15" spans="1:22" ht="15" hidden="1" customHeight="1" x14ac:dyDescent="0.2"/>
    <row r="16" spans="1:22" ht="15" hidden="1" customHeight="1" x14ac:dyDescent="0.2"/>
    <row r="17" spans="1:22" ht="15" hidden="1" customHeight="1" x14ac:dyDescent="0.2"/>
    <row r="18" spans="1:22" ht="15" hidden="1" customHeight="1" x14ac:dyDescent="0.2"/>
    <row r="19" spans="1:22" ht="15" hidden="1" customHeight="1" x14ac:dyDescent="0.2"/>
    <row r="20" spans="1:22" ht="45" customHeight="1" x14ac:dyDescent="0.2">
      <c r="A20" s="33" t="s">
        <v>92</v>
      </c>
      <c r="B20" s="33" t="s">
        <v>97</v>
      </c>
      <c r="C20" s="33" t="s">
        <v>93</v>
      </c>
      <c r="D20" s="33" t="s">
        <v>421</v>
      </c>
      <c r="E20" s="33" t="s">
        <v>98</v>
      </c>
      <c r="F20" s="33" t="s">
        <v>95</v>
      </c>
      <c r="G20" s="33" t="s">
        <v>117</v>
      </c>
      <c r="H20" s="33" t="s">
        <v>107</v>
      </c>
      <c r="I20" s="33" t="s">
        <v>108</v>
      </c>
      <c r="J20" s="33" t="s">
        <v>99</v>
      </c>
      <c r="K20" s="33" t="s">
        <v>105</v>
      </c>
      <c r="L20" s="33" t="s">
        <v>136</v>
      </c>
      <c r="M20" s="33" t="s">
        <v>110</v>
      </c>
      <c r="N20" s="33" t="s">
        <v>106</v>
      </c>
      <c r="O20" s="33" t="s">
        <v>111</v>
      </c>
      <c r="P20" s="33" t="s">
        <v>112</v>
      </c>
      <c r="Q20" s="33" t="s">
        <v>113</v>
      </c>
      <c r="R20" s="33" t="s">
        <v>196</v>
      </c>
      <c r="S20" s="33" t="s">
        <v>135</v>
      </c>
    </row>
    <row r="21" spans="1:22" ht="29.1" customHeight="1" x14ac:dyDescent="0.2">
      <c r="A21" s="85" t="s">
        <v>120</v>
      </c>
      <c r="B21" s="60"/>
      <c r="C21" s="60"/>
      <c r="D21" s="60"/>
      <c r="E21" s="60"/>
      <c r="F21" s="60"/>
      <c r="G21" s="86">
        <f>SUM($G$22:$G$156)</f>
        <v>5343.7400000000016</v>
      </c>
      <c r="H21" s="86">
        <f>SUM($H$22:$H$156)</f>
        <v>0</v>
      </c>
      <c r="I21" s="86">
        <f>SUM($I$22:$I$156)</f>
        <v>0</v>
      </c>
      <c r="J21" s="38"/>
      <c r="K21" s="38"/>
      <c r="L21" s="87">
        <f>MAX(L22:L156)</f>
        <v>196</v>
      </c>
      <c r="M21" s="86">
        <f>SUM($M$22:$M$156)</f>
        <v>742832.08000000007</v>
      </c>
      <c r="N21" s="38"/>
      <c r="O21" s="38"/>
      <c r="P21" s="86">
        <f>SUM($P$22:$P$156)</f>
        <v>0</v>
      </c>
      <c r="Q21" s="86">
        <f ca="1">SUM($Q$22:$Q$156)</f>
        <v>0</v>
      </c>
      <c r="R21" s="86">
        <f>ROUND(IF(L21=0,0,P21/L21),2)</f>
        <v>0</v>
      </c>
      <c r="S21" s="86">
        <f ca="1">ROUND(IF(L21=0,0,Q21/L21),2)</f>
        <v>0</v>
      </c>
    </row>
    <row r="22" spans="1:22" ht="15" customHeight="1" x14ac:dyDescent="0.2">
      <c r="A22" s="78">
        <v>1</v>
      </c>
      <c r="B22" s="88">
        <v>301</v>
      </c>
      <c r="C22" s="89" t="s">
        <v>225</v>
      </c>
      <c r="D22" s="89"/>
      <c r="E22" s="89" t="s">
        <v>226</v>
      </c>
      <c r="F22" s="89" t="s">
        <v>227</v>
      </c>
      <c r="G22" s="90">
        <v>30.81</v>
      </c>
      <c r="H22" s="90"/>
      <c r="I22" s="90"/>
      <c r="J22" s="78" t="s">
        <v>307</v>
      </c>
      <c r="K22" s="90">
        <v>5</v>
      </c>
      <c r="L22" s="38">
        <f>VLOOKUP(K22,Reinigungstage!A10:B31,2,FALSE)</f>
        <v>196</v>
      </c>
      <c r="M22" s="38">
        <f t="shared" ref="M22:M53" si="0">ROUND(IF(L22=0,0,L22*G22),2)</f>
        <v>6038.76</v>
      </c>
      <c r="N22" s="92">
        <f t="shared" ref="N22:N53" si="1">VLOOKUP(J22,$G$4:$H$14,2,FALSE)</f>
        <v>0</v>
      </c>
      <c r="O22" s="38">
        <f ca="1">IF('SVS UnterhaltsRG'!H61="",0,'SVS UnterhaltsRG'!H61)</f>
        <v>0</v>
      </c>
      <c r="P22" s="38">
        <f t="shared" ref="P22:P53" si="2">ROUND(IF(N22=0,0,M22/N22),2)</f>
        <v>0</v>
      </c>
      <c r="Q22" s="38">
        <f t="shared" ref="Q22:Q53" ca="1" si="3">IF(M22=0,0,IF(O22="",0,ROUND(P22*O22,2)))</f>
        <v>0</v>
      </c>
      <c r="R22" s="38">
        <f t="shared" ref="R22:R53" si="4">ROUND(IF(P22=0,0,P22/L22),2)</f>
        <v>0</v>
      </c>
      <c r="S22" s="38">
        <f t="shared" ref="S22:S53" ca="1" si="5">ROUND(IF(Q22=0,0,Q22/L22),2)</f>
        <v>0</v>
      </c>
      <c r="T22" s="16" t="str">
        <f t="shared" ref="T22:T53" si="6">IF(M22=0,"",IF(N22=0,"Leistungswert eintragen",IF(O22=0,"SVS prüfen","")))</f>
        <v>Leistungswert eintragen</v>
      </c>
      <c r="U22" s="16">
        <f t="shared" ref="U22:U53" si="7">VLOOKUP(J22,$U$4:$V$14,2,FALSE)</f>
        <v>165</v>
      </c>
      <c r="V22" s="16">
        <f t="shared" ref="V22:V53" si="8">IF(M22=0,0,IF(U22&lt;N22,1,IF(U22&gt;=N22,0,"")))</f>
        <v>0</v>
      </c>
    </row>
    <row r="23" spans="1:22" ht="15" customHeight="1" x14ac:dyDescent="0.2">
      <c r="A23" s="78">
        <v>2</v>
      </c>
      <c r="B23" s="88">
        <v>302</v>
      </c>
      <c r="C23" s="89" t="s">
        <v>225</v>
      </c>
      <c r="D23" s="89"/>
      <c r="E23" s="89" t="s">
        <v>228</v>
      </c>
      <c r="F23" s="89" t="s">
        <v>229</v>
      </c>
      <c r="G23" s="90">
        <v>71.099999999999994</v>
      </c>
      <c r="H23" s="90"/>
      <c r="I23" s="90"/>
      <c r="J23" s="78" t="s">
        <v>308</v>
      </c>
      <c r="K23" s="90">
        <v>3</v>
      </c>
      <c r="L23" s="38">
        <f>VLOOKUP(K23,Reinigungstage!A10:B31,2,FALSE)</f>
        <v>117.6</v>
      </c>
      <c r="M23" s="38">
        <f t="shared" si="0"/>
        <v>8361.36</v>
      </c>
      <c r="N23" s="92">
        <f t="shared" si="1"/>
        <v>0</v>
      </c>
      <c r="O23" s="38">
        <f ca="1">IF('SVS UnterhaltsRG'!H61="",0,'SVS UnterhaltsRG'!H61)</f>
        <v>0</v>
      </c>
      <c r="P23" s="38">
        <f t="shared" si="2"/>
        <v>0</v>
      </c>
      <c r="Q23" s="38">
        <f t="shared" ca="1" si="3"/>
        <v>0</v>
      </c>
      <c r="R23" s="38">
        <f t="shared" si="4"/>
        <v>0</v>
      </c>
      <c r="S23" s="38">
        <f t="shared" ca="1" si="5"/>
        <v>0</v>
      </c>
      <c r="T23" s="16" t="str">
        <f t="shared" si="6"/>
        <v>Leistungswert eintragen</v>
      </c>
      <c r="U23" s="16">
        <f t="shared" si="7"/>
        <v>240</v>
      </c>
      <c r="V23" s="16">
        <f t="shared" si="8"/>
        <v>0</v>
      </c>
    </row>
    <row r="24" spans="1:22" ht="15" customHeight="1" x14ac:dyDescent="0.2">
      <c r="A24" s="78">
        <v>3</v>
      </c>
      <c r="B24" s="88">
        <v>303</v>
      </c>
      <c r="C24" s="89" t="s">
        <v>225</v>
      </c>
      <c r="D24" s="89"/>
      <c r="E24" s="89" t="s">
        <v>230</v>
      </c>
      <c r="F24" s="89" t="s">
        <v>229</v>
      </c>
      <c r="G24" s="90">
        <v>21.69</v>
      </c>
      <c r="H24" s="90"/>
      <c r="I24" s="90"/>
      <c r="J24" s="78" t="s">
        <v>309</v>
      </c>
      <c r="K24" s="90">
        <v>1</v>
      </c>
      <c r="L24" s="38">
        <f>VLOOKUP(K24,Reinigungstage!A10:B31,2,FALSE)</f>
        <v>40.71</v>
      </c>
      <c r="M24" s="38">
        <f t="shared" si="0"/>
        <v>883</v>
      </c>
      <c r="N24" s="92">
        <f t="shared" si="1"/>
        <v>0</v>
      </c>
      <c r="O24" s="38">
        <f ca="1">IF('SVS UnterhaltsRG'!H61="",0,'SVS UnterhaltsRG'!H61)</f>
        <v>0</v>
      </c>
      <c r="P24" s="38">
        <f t="shared" si="2"/>
        <v>0</v>
      </c>
      <c r="Q24" s="38">
        <f t="shared" ca="1" si="3"/>
        <v>0</v>
      </c>
      <c r="R24" s="38">
        <f t="shared" si="4"/>
        <v>0</v>
      </c>
      <c r="S24" s="38">
        <f t="shared" ca="1" si="5"/>
        <v>0</v>
      </c>
      <c r="T24" s="16" t="str">
        <f t="shared" si="6"/>
        <v>Leistungswert eintragen</v>
      </c>
      <c r="U24" s="16">
        <f t="shared" si="7"/>
        <v>215</v>
      </c>
      <c r="V24" s="16">
        <f t="shared" si="8"/>
        <v>0</v>
      </c>
    </row>
    <row r="25" spans="1:22" ht="15" customHeight="1" x14ac:dyDescent="0.2">
      <c r="A25" s="78">
        <v>4</v>
      </c>
      <c r="B25" s="88">
        <v>304</v>
      </c>
      <c r="C25" s="89" t="s">
        <v>225</v>
      </c>
      <c r="D25" s="89"/>
      <c r="E25" s="89" t="s">
        <v>231</v>
      </c>
      <c r="F25" s="89" t="s">
        <v>227</v>
      </c>
      <c r="G25" s="90">
        <v>16.61</v>
      </c>
      <c r="H25" s="90"/>
      <c r="I25" s="90"/>
      <c r="J25" s="78" t="s">
        <v>310</v>
      </c>
      <c r="K25" s="90">
        <v>0</v>
      </c>
      <c r="L25" s="38">
        <f>VLOOKUP(K25,Reinigungstage!A10:B31,2,FALSE)</f>
        <v>0</v>
      </c>
      <c r="M25" s="38">
        <f t="shared" si="0"/>
        <v>0</v>
      </c>
      <c r="N25" s="92">
        <f t="shared" si="1"/>
        <v>0</v>
      </c>
      <c r="O25" s="38">
        <f ca="1">IF('SVS UnterhaltsRG'!H61="",0,'SVS UnterhaltsRG'!H61)</f>
        <v>0</v>
      </c>
      <c r="P25" s="38">
        <f t="shared" si="2"/>
        <v>0</v>
      </c>
      <c r="Q25" s="38">
        <f t="shared" si="3"/>
        <v>0</v>
      </c>
      <c r="R25" s="38">
        <f t="shared" si="4"/>
        <v>0</v>
      </c>
      <c r="S25" s="38">
        <f t="shared" si="5"/>
        <v>0</v>
      </c>
      <c r="T25" s="16" t="str">
        <f t="shared" si="6"/>
        <v/>
      </c>
      <c r="U25" s="16">
        <f t="shared" si="7"/>
        <v>300</v>
      </c>
      <c r="V25" s="16">
        <f t="shared" si="8"/>
        <v>0</v>
      </c>
    </row>
    <row r="26" spans="1:22" ht="15" customHeight="1" x14ac:dyDescent="0.2">
      <c r="A26" s="78">
        <v>5</v>
      </c>
      <c r="B26" s="88">
        <v>305</v>
      </c>
      <c r="C26" s="89" t="s">
        <v>225</v>
      </c>
      <c r="D26" s="89"/>
      <c r="E26" s="89" t="s">
        <v>232</v>
      </c>
      <c r="F26" s="89" t="s">
        <v>229</v>
      </c>
      <c r="G26" s="90">
        <v>66.900000000000006</v>
      </c>
      <c r="H26" s="90"/>
      <c r="I26" s="90"/>
      <c r="J26" s="78" t="s">
        <v>311</v>
      </c>
      <c r="K26" s="90">
        <v>3</v>
      </c>
      <c r="L26" s="38">
        <f>VLOOKUP(K26,Reinigungstage!A10:B31,2,FALSE)</f>
        <v>117.6</v>
      </c>
      <c r="M26" s="38">
        <f t="shared" si="0"/>
        <v>7867.44</v>
      </c>
      <c r="N26" s="92">
        <f t="shared" si="1"/>
        <v>0</v>
      </c>
      <c r="O26" s="38">
        <f ca="1">IF('SVS UnterhaltsRG'!H61="",0,'SVS UnterhaltsRG'!H61)</f>
        <v>0</v>
      </c>
      <c r="P26" s="38">
        <f t="shared" si="2"/>
        <v>0</v>
      </c>
      <c r="Q26" s="38">
        <f t="shared" ca="1" si="3"/>
        <v>0</v>
      </c>
      <c r="R26" s="38">
        <f t="shared" si="4"/>
        <v>0</v>
      </c>
      <c r="S26" s="38">
        <f t="shared" ca="1" si="5"/>
        <v>0</v>
      </c>
      <c r="T26" s="16" t="str">
        <f t="shared" si="6"/>
        <v>Leistungswert eintragen</v>
      </c>
      <c r="U26" s="16">
        <f t="shared" si="7"/>
        <v>170</v>
      </c>
      <c r="V26" s="16">
        <f t="shared" si="8"/>
        <v>0</v>
      </c>
    </row>
    <row r="27" spans="1:22" ht="15" customHeight="1" x14ac:dyDescent="0.2">
      <c r="A27" s="78">
        <v>6</v>
      </c>
      <c r="B27" s="88">
        <v>311</v>
      </c>
      <c r="C27" s="89" t="s">
        <v>225</v>
      </c>
      <c r="D27" s="89"/>
      <c r="E27" s="89" t="s">
        <v>233</v>
      </c>
      <c r="F27" s="89" t="s">
        <v>229</v>
      </c>
      <c r="G27" s="90">
        <v>67.319999999999993</v>
      </c>
      <c r="H27" s="90"/>
      <c r="I27" s="90"/>
      <c r="J27" s="78" t="s">
        <v>308</v>
      </c>
      <c r="K27" s="90">
        <v>3</v>
      </c>
      <c r="L27" s="38">
        <f>VLOOKUP(K27,Reinigungstage!A10:B31,2,FALSE)</f>
        <v>117.6</v>
      </c>
      <c r="M27" s="38">
        <f t="shared" si="0"/>
        <v>7916.83</v>
      </c>
      <c r="N27" s="92">
        <f t="shared" si="1"/>
        <v>0</v>
      </c>
      <c r="O27" s="38">
        <f ca="1">IF('SVS UnterhaltsRG'!H61="",0,'SVS UnterhaltsRG'!H61)</f>
        <v>0</v>
      </c>
      <c r="P27" s="38">
        <f t="shared" si="2"/>
        <v>0</v>
      </c>
      <c r="Q27" s="38">
        <f t="shared" ca="1" si="3"/>
        <v>0</v>
      </c>
      <c r="R27" s="38">
        <f t="shared" si="4"/>
        <v>0</v>
      </c>
      <c r="S27" s="38">
        <f t="shared" ca="1" si="5"/>
        <v>0</v>
      </c>
      <c r="T27" s="16" t="str">
        <f t="shared" si="6"/>
        <v>Leistungswert eintragen</v>
      </c>
      <c r="U27" s="16">
        <f t="shared" si="7"/>
        <v>240</v>
      </c>
      <c r="V27" s="16">
        <f t="shared" si="8"/>
        <v>0</v>
      </c>
    </row>
    <row r="28" spans="1:22" ht="15" customHeight="1" x14ac:dyDescent="0.2">
      <c r="A28" s="78">
        <v>7</v>
      </c>
      <c r="B28" s="88">
        <v>312</v>
      </c>
      <c r="C28" s="89" t="s">
        <v>225</v>
      </c>
      <c r="D28" s="89"/>
      <c r="E28" s="89" t="s">
        <v>234</v>
      </c>
      <c r="F28" s="89" t="s">
        <v>229</v>
      </c>
      <c r="G28" s="90">
        <v>16.29</v>
      </c>
      <c r="H28" s="90"/>
      <c r="I28" s="90"/>
      <c r="J28" s="78" t="s">
        <v>309</v>
      </c>
      <c r="K28" s="90">
        <v>1</v>
      </c>
      <c r="L28" s="38">
        <f>VLOOKUP(K28,Reinigungstage!A10:B31,2,FALSE)</f>
        <v>40.71</v>
      </c>
      <c r="M28" s="38">
        <f t="shared" si="0"/>
        <v>663.17</v>
      </c>
      <c r="N28" s="92">
        <f t="shared" si="1"/>
        <v>0</v>
      </c>
      <c r="O28" s="38">
        <f ca="1">IF('SVS UnterhaltsRG'!H61="",0,'SVS UnterhaltsRG'!H61)</f>
        <v>0</v>
      </c>
      <c r="P28" s="38">
        <f t="shared" si="2"/>
        <v>0</v>
      </c>
      <c r="Q28" s="38">
        <f t="shared" ca="1" si="3"/>
        <v>0</v>
      </c>
      <c r="R28" s="38">
        <f t="shared" si="4"/>
        <v>0</v>
      </c>
      <c r="S28" s="38">
        <f t="shared" ca="1" si="5"/>
        <v>0</v>
      </c>
      <c r="T28" s="16" t="str">
        <f t="shared" si="6"/>
        <v>Leistungswert eintragen</v>
      </c>
      <c r="U28" s="16">
        <f t="shared" si="7"/>
        <v>215</v>
      </c>
      <c r="V28" s="16">
        <f t="shared" si="8"/>
        <v>0</v>
      </c>
    </row>
    <row r="29" spans="1:22" ht="15" customHeight="1" x14ac:dyDescent="0.2">
      <c r="A29" s="78">
        <v>8</v>
      </c>
      <c r="B29" s="88">
        <v>313</v>
      </c>
      <c r="C29" s="89" t="s">
        <v>225</v>
      </c>
      <c r="D29" s="89"/>
      <c r="E29" s="89" t="s">
        <v>233</v>
      </c>
      <c r="F29" s="89" t="s">
        <v>229</v>
      </c>
      <c r="G29" s="90">
        <v>59.38</v>
      </c>
      <c r="H29" s="90"/>
      <c r="I29" s="90"/>
      <c r="J29" s="78" t="s">
        <v>308</v>
      </c>
      <c r="K29" s="90">
        <v>3</v>
      </c>
      <c r="L29" s="38">
        <f>VLOOKUP(K29,Reinigungstage!A10:B31,2,FALSE)</f>
        <v>117.6</v>
      </c>
      <c r="M29" s="38">
        <f t="shared" si="0"/>
        <v>6983.09</v>
      </c>
      <c r="N29" s="92">
        <f t="shared" si="1"/>
        <v>0</v>
      </c>
      <c r="O29" s="38">
        <f ca="1">IF('SVS UnterhaltsRG'!H61="",0,'SVS UnterhaltsRG'!H61)</f>
        <v>0</v>
      </c>
      <c r="P29" s="38">
        <f t="shared" si="2"/>
        <v>0</v>
      </c>
      <c r="Q29" s="38">
        <f t="shared" ca="1" si="3"/>
        <v>0</v>
      </c>
      <c r="R29" s="38">
        <f t="shared" si="4"/>
        <v>0</v>
      </c>
      <c r="S29" s="38">
        <f t="shared" ca="1" si="5"/>
        <v>0</v>
      </c>
      <c r="T29" s="16" t="str">
        <f t="shared" si="6"/>
        <v>Leistungswert eintragen</v>
      </c>
      <c r="U29" s="16">
        <f t="shared" si="7"/>
        <v>240</v>
      </c>
      <c r="V29" s="16">
        <f t="shared" si="8"/>
        <v>0</v>
      </c>
    </row>
    <row r="30" spans="1:22" ht="15" customHeight="1" x14ac:dyDescent="0.2">
      <c r="A30" s="78">
        <v>9</v>
      </c>
      <c r="B30" s="88">
        <v>314</v>
      </c>
      <c r="C30" s="89" t="s">
        <v>225</v>
      </c>
      <c r="D30" s="89"/>
      <c r="E30" s="89" t="s">
        <v>233</v>
      </c>
      <c r="F30" s="89" t="s">
        <v>229</v>
      </c>
      <c r="G30" s="90">
        <v>59.38</v>
      </c>
      <c r="H30" s="90"/>
      <c r="I30" s="90"/>
      <c r="J30" s="78" t="s">
        <v>308</v>
      </c>
      <c r="K30" s="90">
        <v>3</v>
      </c>
      <c r="L30" s="38">
        <f>VLOOKUP(K30,Reinigungstage!A10:B31,2,FALSE)</f>
        <v>117.6</v>
      </c>
      <c r="M30" s="38">
        <f t="shared" si="0"/>
        <v>6983.09</v>
      </c>
      <c r="N30" s="92">
        <f t="shared" si="1"/>
        <v>0</v>
      </c>
      <c r="O30" s="38">
        <f ca="1">IF('SVS UnterhaltsRG'!H61="",0,'SVS UnterhaltsRG'!H61)</f>
        <v>0</v>
      </c>
      <c r="P30" s="38">
        <f t="shared" si="2"/>
        <v>0</v>
      </c>
      <c r="Q30" s="38">
        <f t="shared" ca="1" si="3"/>
        <v>0</v>
      </c>
      <c r="R30" s="38">
        <f t="shared" si="4"/>
        <v>0</v>
      </c>
      <c r="S30" s="38">
        <f t="shared" ca="1" si="5"/>
        <v>0</v>
      </c>
      <c r="T30" s="16" t="str">
        <f t="shared" si="6"/>
        <v>Leistungswert eintragen</v>
      </c>
      <c r="U30" s="16">
        <f t="shared" si="7"/>
        <v>240</v>
      </c>
      <c r="V30" s="16">
        <f t="shared" si="8"/>
        <v>0</v>
      </c>
    </row>
    <row r="31" spans="1:22" ht="15" customHeight="1" x14ac:dyDescent="0.2">
      <c r="A31" s="78">
        <v>10</v>
      </c>
      <c r="B31" s="88">
        <v>315</v>
      </c>
      <c r="C31" s="89" t="s">
        <v>225</v>
      </c>
      <c r="D31" s="89"/>
      <c r="E31" s="89" t="s">
        <v>234</v>
      </c>
      <c r="F31" s="89" t="s">
        <v>229</v>
      </c>
      <c r="G31" s="90">
        <v>15.67</v>
      </c>
      <c r="H31" s="90"/>
      <c r="I31" s="90"/>
      <c r="J31" s="78" t="s">
        <v>309</v>
      </c>
      <c r="K31" s="90">
        <v>1</v>
      </c>
      <c r="L31" s="38">
        <f>VLOOKUP(K31,Reinigungstage!A10:B31,2,FALSE)</f>
        <v>40.71</v>
      </c>
      <c r="M31" s="38">
        <f t="shared" si="0"/>
        <v>637.92999999999995</v>
      </c>
      <c r="N31" s="92">
        <f t="shared" si="1"/>
        <v>0</v>
      </c>
      <c r="O31" s="38">
        <f ca="1">IF('SVS UnterhaltsRG'!H61="",0,'SVS UnterhaltsRG'!H61)</f>
        <v>0</v>
      </c>
      <c r="P31" s="38">
        <f t="shared" si="2"/>
        <v>0</v>
      </c>
      <c r="Q31" s="38">
        <f t="shared" ca="1" si="3"/>
        <v>0</v>
      </c>
      <c r="R31" s="38">
        <f t="shared" si="4"/>
        <v>0</v>
      </c>
      <c r="S31" s="38">
        <f t="shared" ca="1" si="5"/>
        <v>0</v>
      </c>
      <c r="T31" s="16" t="str">
        <f t="shared" si="6"/>
        <v>Leistungswert eintragen</v>
      </c>
      <c r="U31" s="16">
        <f t="shared" si="7"/>
        <v>215</v>
      </c>
      <c r="V31" s="16">
        <f t="shared" si="8"/>
        <v>0</v>
      </c>
    </row>
    <row r="32" spans="1:22" ht="15" customHeight="1" x14ac:dyDescent="0.2">
      <c r="A32" s="78">
        <v>11</v>
      </c>
      <c r="B32" s="88">
        <v>316</v>
      </c>
      <c r="C32" s="89" t="s">
        <v>225</v>
      </c>
      <c r="D32" s="89"/>
      <c r="E32" s="89" t="s">
        <v>233</v>
      </c>
      <c r="F32" s="89" t="s">
        <v>229</v>
      </c>
      <c r="G32" s="90">
        <v>59.38</v>
      </c>
      <c r="H32" s="90"/>
      <c r="I32" s="90"/>
      <c r="J32" s="78" t="s">
        <v>308</v>
      </c>
      <c r="K32" s="90">
        <v>3</v>
      </c>
      <c r="L32" s="38">
        <f>VLOOKUP(K32,Reinigungstage!A10:B31,2,FALSE)</f>
        <v>117.6</v>
      </c>
      <c r="M32" s="38">
        <f t="shared" si="0"/>
        <v>6983.09</v>
      </c>
      <c r="N32" s="92">
        <f t="shared" si="1"/>
        <v>0</v>
      </c>
      <c r="O32" s="38">
        <f ca="1">IF('SVS UnterhaltsRG'!H61="",0,'SVS UnterhaltsRG'!H61)</f>
        <v>0</v>
      </c>
      <c r="P32" s="38">
        <f t="shared" si="2"/>
        <v>0</v>
      </c>
      <c r="Q32" s="38">
        <f t="shared" ca="1" si="3"/>
        <v>0</v>
      </c>
      <c r="R32" s="38">
        <f t="shared" si="4"/>
        <v>0</v>
      </c>
      <c r="S32" s="38">
        <f t="shared" ca="1" si="5"/>
        <v>0</v>
      </c>
      <c r="T32" s="16" t="str">
        <f t="shared" si="6"/>
        <v>Leistungswert eintragen</v>
      </c>
      <c r="U32" s="16">
        <f t="shared" si="7"/>
        <v>240</v>
      </c>
      <c r="V32" s="16">
        <f t="shared" si="8"/>
        <v>0</v>
      </c>
    </row>
    <row r="33" spans="1:22" ht="15" customHeight="1" x14ac:dyDescent="0.2">
      <c r="A33" s="78">
        <v>12</v>
      </c>
      <c r="B33" s="88">
        <v>317</v>
      </c>
      <c r="C33" s="89" t="s">
        <v>225</v>
      </c>
      <c r="D33" s="89"/>
      <c r="E33" s="89" t="s">
        <v>233</v>
      </c>
      <c r="F33" s="89" t="s">
        <v>229</v>
      </c>
      <c r="G33" s="90">
        <v>59.39</v>
      </c>
      <c r="H33" s="90"/>
      <c r="I33" s="90"/>
      <c r="J33" s="78" t="s">
        <v>308</v>
      </c>
      <c r="K33" s="90">
        <v>3</v>
      </c>
      <c r="L33" s="38">
        <f>VLOOKUP(K33,Reinigungstage!A10:B31,2,FALSE)</f>
        <v>117.6</v>
      </c>
      <c r="M33" s="38">
        <f t="shared" si="0"/>
        <v>6984.26</v>
      </c>
      <c r="N33" s="92">
        <f t="shared" si="1"/>
        <v>0</v>
      </c>
      <c r="O33" s="38">
        <f ca="1">IF('SVS UnterhaltsRG'!H61="",0,'SVS UnterhaltsRG'!H61)</f>
        <v>0</v>
      </c>
      <c r="P33" s="38">
        <f t="shared" si="2"/>
        <v>0</v>
      </c>
      <c r="Q33" s="38">
        <f t="shared" ca="1" si="3"/>
        <v>0</v>
      </c>
      <c r="R33" s="38">
        <f t="shared" si="4"/>
        <v>0</v>
      </c>
      <c r="S33" s="38">
        <f t="shared" ca="1" si="5"/>
        <v>0</v>
      </c>
      <c r="T33" s="16" t="str">
        <f t="shared" si="6"/>
        <v>Leistungswert eintragen</v>
      </c>
      <c r="U33" s="16">
        <f t="shared" si="7"/>
        <v>240</v>
      </c>
      <c r="V33" s="16">
        <f t="shared" si="8"/>
        <v>0</v>
      </c>
    </row>
    <row r="34" spans="1:22" ht="15" customHeight="1" x14ac:dyDescent="0.2">
      <c r="A34" s="78">
        <v>13</v>
      </c>
      <c r="B34" s="88">
        <v>318</v>
      </c>
      <c r="C34" s="89" t="s">
        <v>225</v>
      </c>
      <c r="D34" s="89"/>
      <c r="E34" s="89" t="s">
        <v>234</v>
      </c>
      <c r="F34" s="89" t="s">
        <v>229</v>
      </c>
      <c r="G34" s="90">
        <v>16.29</v>
      </c>
      <c r="H34" s="90"/>
      <c r="I34" s="90"/>
      <c r="J34" s="78" t="s">
        <v>309</v>
      </c>
      <c r="K34" s="90">
        <v>1</v>
      </c>
      <c r="L34" s="38">
        <f>VLOOKUP(K34,Reinigungstage!A10:B31,2,FALSE)</f>
        <v>40.71</v>
      </c>
      <c r="M34" s="38">
        <f t="shared" si="0"/>
        <v>663.17</v>
      </c>
      <c r="N34" s="92">
        <f t="shared" si="1"/>
        <v>0</v>
      </c>
      <c r="O34" s="38">
        <f ca="1">IF('SVS UnterhaltsRG'!H61="",0,'SVS UnterhaltsRG'!H61)</f>
        <v>0</v>
      </c>
      <c r="P34" s="38">
        <f t="shared" si="2"/>
        <v>0</v>
      </c>
      <c r="Q34" s="38">
        <f t="shared" ca="1" si="3"/>
        <v>0</v>
      </c>
      <c r="R34" s="38">
        <f t="shared" si="4"/>
        <v>0</v>
      </c>
      <c r="S34" s="38">
        <f t="shared" ca="1" si="5"/>
        <v>0</v>
      </c>
      <c r="T34" s="16" t="str">
        <f t="shared" si="6"/>
        <v>Leistungswert eintragen</v>
      </c>
      <c r="U34" s="16">
        <f t="shared" si="7"/>
        <v>215</v>
      </c>
      <c r="V34" s="16">
        <f t="shared" si="8"/>
        <v>0</v>
      </c>
    </row>
    <row r="35" spans="1:22" ht="15" customHeight="1" x14ac:dyDescent="0.2">
      <c r="A35" s="78">
        <v>14</v>
      </c>
      <c r="B35" s="88">
        <v>319</v>
      </c>
      <c r="C35" s="89" t="s">
        <v>225</v>
      </c>
      <c r="D35" s="89"/>
      <c r="E35" s="89" t="s">
        <v>233</v>
      </c>
      <c r="F35" s="89" t="s">
        <v>229</v>
      </c>
      <c r="G35" s="90">
        <v>67.33</v>
      </c>
      <c r="H35" s="90"/>
      <c r="I35" s="90"/>
      <c r="J35" s="78" t="s">
        <v>308</v>
      </c>
      <c r="K35" s="90">
        <v>3</v>
      </c>
      <c r="L35" s="38">
        <f>VLOOKUP(K35,Reinigungstage!A10:B31,2,FALSE)</f>
        <v>117.6</v>
      </c>
      <c r="M35" s="38">
        <f t="shared" si="0"/>
        <v>7918.01</v>
      </c>
      <c r="N35" s="92">
        <f t="shared" si="1"/>
        <v>0</v>
      </c>
      <c r="O35" s="38">
        <f ca="1">IF('SVS UnterhaltsRG'!H61="",0,'SVS UnterhaltsRG'!H61)</f>
        <v>0</v>
      </c>
      <c r="P35" s="38">
        <f t="shared" si="2"/>
        <v>0</v>
      </c>
      <c r="Q35" s="38">
        <f t="shared" ca="1" si="3"/>
        <v>0</v>
      </c>
      <c r="R35" s="38">
        <f t="shared" si="4"/>
        <v>0</v>
      </c>
      <c r="S35" s="38">
        <f t="shared" ca="1" si="5"/>
        <v>0</v>
      </c>
      <c r="T35" s="16" t="str">
        <f t="shared" si="6"/>
        <v>Leistungswert eintragen</v>
      </c>
      <c r="U35" s="16">
        <f t="shared" si="7"/>
        <v>240</v>
      </c>
      <c r="V35" s="16">
        <f t="shared" si="8"/>
        <v>0</v>
      </c>
    </row>
    <row r="36" spans="1:22" ht="15" customHeight="1" x14ac:dyDescent="0.2">
      <c r="A36" s="78">
        <v>15</v>
      </c>
      <c r="B36" s="88">
        <v>321</v>
      </c>
      <c r="C36" s="89" t="s">
        <v>225</v>
      </c>
      <c r="D36" s="89"/>
      <c r="E36" s="89" t="s">
        <v>232</v>
      </c>
      <c r="F36" s="89" t="s">
        <v>229</v>
      </c>
      <c r="G36" s="90">
        <v>45.38</v>
      </c>
      <c r="H36" s="90"/>
      <c r="I36" s="90"/>
      <c r="J36" s="78" t="s">
        <v>311</v>
      </c>
      <c r="K36" s="90">
        <v>3</v>
      </c>
      <c r="L36" s="38">
        <f>VLOOKUP(K36,Reinigungstage!A10:B31,2,FALSE)</f>
        <v>117.6</v>
      </c>
      <c r="M36" s="38">
        <f t="shared" si="0"/>
        <v>5336.69</v>
      </c>
      <c r="N36" s="92">
        <f t="shared" si="1"/>
        <v>0</v>
      </c>
      <c r="O36" s="38">
        <f ca="1">IF('SVS UnterhaltsRG'!H61="",0,'SVS UnterhaltsRG'!H61)</f>
        <v>0</v>
      </c>
      <c r="P36" s="38">
        <f t="shared" si="2"/>
        <v>0</v>
      </c>
      <c r="Q36" s="38">
        <f t="shared" ca="1" si="3"/>
        <v>0</v>
      </c>
      <c r="R36" s="38">
        <f t="shared" si="4"/>
        <v>0</v>
      </c>
      <c r="S36" s="38">
        <f t="shared" ca="1" si="5"/>
        <v>0</v>
      </c>
      <c r="T36" s="16" t="str">
        <f t="shared" si="6"/>
        <v>Leistungswert eintragen</v>
      </c>
      <c r="U36" s="16">
        <f t="shared" si="7"/>
        <v>170</v>
      </c>
      <c r="V36" s="16">
        <f t="shared" si="8"/>
        <v>0</v>
      </c>
    </row>
    <row r="37" spans="1:22" ht="15" customHeight="1" x14ac:dyDescent="0.2">
      <c r="A37" s="78">
        <v>16</v>
      </c>
      <c r="B37" s="88">
        <v>322</v>
      </c>
      <c r="C37" s="89" t="s">
        <v>225</v>
      </c>
      <c r="D37" s="89"/>
      <c r="E37" s="89" t="s">
        <v>232</v>
      </c>
      <c r="F37" s="89" t="s">
        <v>229</v>
      </c>
      <c r="G37" s="90">
        <v>45.84</v>
      </c>
      <c r="H37" s="90"/>
      <c r="I37" s="90"/>
      <c r="J37" s="78" t="s">
        <v>311</v>
      </c>
      <c r="K37" s="90">
        <v>3</v>
      </c>
      <c r="L37" s="38">
        <f>VLOOKUP(K37,Reinigungstage!A10:B31,2,FALSE)</f>
        <v>117.6</v>
      </c>
      <c r="M37" s="38">
        <f t="shared" si="0"/>
        <v>5390.78</v>
      </c>
      <c r="N37" s="92">
        <f t="shared" si="1"/>
        <v>0</v>
      </c>
      <c r="O37" s="38">
        <f ca="1">IF('SVS UnterhaltsRG'!H61="",0,'SVS UnterhaltsRG'!H61)</f>
        <v>0</v>
      </c>
      <c r="P37" s="38">
        <f t="shared" si="2"/>
        <v>0</v>
      </c>
      <c r="Q37" s="38">
        <f t="shared" ca="1" si="3"/>
        <v>0</v>
      </c>
      <c r="R37" s="38">
        <f t="shared" si="4"/>
        <v>0</v>
      </c>
      <c r="S37" s="38">
        <f t="shared" ca="1" si="5"/>
        <v>0</v>
      </c>
      <c r="T37" s="16" t="str">
        <f t="shared" si="6"/>
        <v>Leistungswert eintragen</v>
      </c>
      <c r="U37" s="16">
        <f t="shared" si="7"/>
        <v>170</v>
      </c>
      <c r="V37" s="16">
        <f t="shared" si="8"/>
        <v>0</v>
      </c>
    </row>
    <row r="38" spans="1:22" ht="15" customHeight="1" x14ac:dyDescent="0.2">
      <c r="A38" s="78">
        <v>17</v>
      </c>
      <c r="B38" s="88">
        <v>323</v>
      </c>
      <c r="C38" s="89" t="s">
        <v>225</v>
      </c>
      <c r="D38" s="89"/>
      <c r="E38" s="89" t="s">
        <v>235</v>
      </c>
      <c r="F38" s="89" t="s">
        <v>227</v>
      </c>
      <c r="G38" s="90">
        <v>17.47</v>
      </c>
      <c r="H38" s="90"/>
      <c r="I38" s="90"/>
      <c r="J38" s="78" t="s">
        <v>312</v>
      </c>
      <c r="K38" s="90">
        <v>5</v>
      </c>
      <c r="L38" s="38">
        <f>VLOOKUP(K38,Reinigungstage!A10:B31,2,FALSE)</f>
        <v>196</v>
      </c>
      <c r="M38" s="38">
        <f t="shared" si="0"/>
        <v>3424.12</v>
      </c>
      <c r="N38" s="92">
        <f t="shared" si="1"/>
        <v>0</v>
      </c>
      <c r="O38" s="38">
        <f ca="1">IF('SVS UnterhaltsRG'!H61="",0,'SVS UnterhaltsRG'!H61)</f>
        <v>0</v>
      </c>
      <c r="P38" s="38">
        <f t="shared" si="2"/>
        <v>0</v>
      </c>
      <c r="Q38" s="38">
        <f t="shared" ca="1" si="3"/>
        <v>0</v>
      </c>
      <c r="R38" s="38">
        <f t="shared" si="4"/>
        <v>0</v>
      </c>
      <c r="S38" s="38">
        <f t="shared" ca="1" si="5"/>
        <v>0</v>
      </c>
      <c r="T38" s="16" t="str">
        <f t="shared" si="6"/>
        <v>Leistungswert eintragen</v>
      </c>
      <c r="U38" s="16">
        <f t="shared" si="7"/>
        <v>75</v>
      </c>
      <c r="V38" s="16">
        <f t="shared" si="8"/>
        <v>0</v>
      </c>
    </row>
    <row r="39" spans="1:22" ht="15" customHeight="1" x14ac:dyDescent="0.2">
      <c r="A39" s="78">
        <v>18</v>
      </c>
      <c r="B39" s="88">
        <v>324</v>
      </c>
      <c r="C39" s="89" t="s">
        <v>225</v>
      </c>
      <c r="D39" s="89"/>
      <c r="E39" s="89" t="s">
        <v>236</v>
      </c>
      <c r="F39" s="89" t="s">
        <v>227</v>
      </c>
      <c r="G39" s="90">
        <v>5.0599999999999996</v>
      </c>
      <c r="H39" s="90"/>
      <c r="I39" s="90"/>
      <c r="J39" s="78" t="s">
        <v>312</v>
      </c>
      <c r="K39" s="90">
        <v>5</v>
      </c>
      <c r="L39" s="38">
        <f>VLOOKUP(K39,Reinigungstage!A10:B31,2,FALSE)</f>
        <v>196</v>
      </c>
      <c r="M39" s="38">
        <f t="shared" si="0"/>
        <v>991.76</v>
      </c>
      <c r="N39" s="92">
        <f t="shared" si="1"/>
        <v>0</v>
      </c>
      <c r="O39" s="38">
        <f ca="1">IF('SVS UnterhaltsRG'!H61="",0,'SVS UnterhaltsRG'!H61)</f>
        <v>0</v>
      </c>
      <c r="P39" s="38">
        <f t="shared" si="2"/>
        <v>0</v>
      </c>
      <c r="Q39" s="38">
        <f t="shared" ca="1" si="3"/>
        <v>0</v>
      </c>
      <c r="R39" s="38">
        <f t="shared" si="4"/>
        <v>0</v>
      </c>
      <c r="S39" s="38">
        <f t="shared" ca="1" si="5"/>
        <v>0</v>
      </c>
      <c r="T39" s="16" t="str">
        <f t="shared" si="6"/>
        <v>Leistungswert eintragen</v>
      </c>
      <c r="U39" s="16">
        <f t="shared" si="7"/>
        <v>75</v>
      </c>
      <c r="V39" s="16">
        <f t="shared" si="8"/>
        <v>0</v>
      </c>
    </row>
    <row r="40" spans="1:22" ht="15" customHeight="1" x14ac:dyDescent="0.2">
      <c r="A40" s="78">
        <v>19</v>
      </c>
      <c r="B40" s="88">
        <v>325</v>
      </c>
      <c r="C40" s="89" t="s">
        <v>225</v>
      </c>
      <c r="D40" s="89"/>
      <c r="E40" s="89" t="s">
        <v>237</v>
      </c>
      <c r="F40" s="89" t="s">
        <v>227</v>
      </c>
      <c r="G40" s="90">
        <v>16.88</v>
      </c>
      <c r="H40" s="90"/>
      <c r="I40" s="90"/>
      <c r="J40" s="78" t="s">
        <v>312</v>
      </c>
      <c r="K40" s="90">
        <v>5</v>
      </c>
      <c r="L40" s="38">
        <f>VLOOKUP(K40,Reinigungstage!A10:B31,2,FALSE)</f>
        <v>196</v>
      </c>
      <c r="M40" s="38">
        <f t="shared" si="0"/>
        <v>3308.48</v>
      </c>
      <c r="N40" s="92">
        <f t="shared" si="1"/>
        <v>0</v>
      </c>
      <c r="O40" s="38">
        <f ca="1">IF('SVS UnterhaltsRG'!H61="",0,'SVS UnterhaltsRG'!H61)</f>
        <v>0</v>
      </c>
      <c r="P40" s="38">
        <f t="shared" si="2"/>
        <v>0</v>
      </c>
      <c r="Q40" s="38">
        <f t="shared" ca="1" si="3"/>
        <v>0</v>
      </c>
      <c r="R40" s="38">
        <f t="shared" si="4"/>
        <v>0</v>
      </c>
      <c r="S40" s="38">
        <f t="shared" ca="1" si="5"/>
        <v>0</v>
      </c>
      <c r="T40" s="16" t="str">
        <f t="shared" si="6"/>
        <v>Leistungswert eintragen</v>
      </c>
      <c r="U40" s="16">
        <f t="shared" si="7"/>
        <v>75</v>
      </c>
      <c r="V40" s="16">
        <f t="shared" si="8"/>
        <v>0</v>
      </c>
    </row>
    <row r="41" spans="1:22" ht="15" customHeight="1" x14ac:dyDescent="0.2">
      <c r="A41" s="78">
        <v>20</v>
      </c>
      <c r="B41" s="88">
        <v>326</v>
      </c>
      <c r="C41" s="89" t="s">
        <v>225</v>
      </c>
      <c r="D41" s="89"/>
      <c r="E41" s="89" t="s">
        <v>238</v>
      </c>
      <c r="F41" s="89" t="s">
        <v>229</v>
      </c>
      <c r="G41" s="90">
        <v>76.91</v>
      </c>
      <c r="H41" s="90"/>
      <c r="I41" s="90"/>
      <c r="J41" s="78" t="s">
        <v>308</v>
      </c>
      <c r="K41" s="90">
        <v>3</v>
      </c>
      <c r="L41" s="38">
        <f>VLOOKUP(K41,Reinigungstage!A10:B31,2,FALSE)</f>
        <v>117.6</v>
      </c>
      <c r="M41" s="38">
        <f t="shared" si="0"/>
        <v>9044.6200000000008</v>
      </c>
      <c r="N41" s="92">
        <f t="shared" si="1"/>
        <v>0</v>
      </c>
      <c r="O41" s="38">
        <f ca="1">IF('SVS UnterhaltsRG'!H61="",0,'SVS UnterhaltsRG'!H61)</f>
        <v>0</v>
      </c>
      <c r="P41" s="38">
        <f t="shared" si="2"/>
        <v>0</v>
      </c>
      <c r="Q41" s="38">
        <f t="shared" ca="1" si="3"/>
        <v>0</v>
      </c>
      <c r="R41" s="38">
        <f t="shared" si="4"/>
        <v>0</v>
      </c>
      <c r="S41" s="38">
        <f t="shared" ca="1" si="5"/>
        <v>0</v>
      </c>
      <c r="T41" s="16" t="str">
        <f t="shared" si="6"/>
        <v>Leistungswert eintragen</v>
      </c>
      <c r="U41" s="16">
        <f t="shared" si="7"/>
        <v>240</v>
      </c>
      <c r="V41" s="16">
        <f t="shared" si="8"/>
        <v>0</v>
      </c>
    </row>
    <row r="42" spans="1:22" ht="15" customHeight="1" x14ac:dyDescent="0.2">
      <c r="A42" s="78">
        <v>21</v>
      </c>
      <c r="B42" s="88">
        <v>327</v>
      </c>
      <c r="C42" s="89" t="s">
        <v>225</v>
      </c>
      <c r="D42" s="89"/>
      <c r="E42" s="89" t="s">
        <v>239</v>
      </c>
      <c r="F42" s="89" t="s">
        <v>229</v>
      </c>
      <c r="G42" s="90">
        <v>22.79</v>
      </c>
      <c r="H42" s="90"/>
      <c r="I42" s="90"/>
      <c r="J42" s="78" t="s">
        <v>309</v>
      </c>
      <c r="K42" s="90">
        <v>1</v>
      </c>
      <c r="L42" s="38">
        <f>VLOOKUP(K42,Reinigungstage!A10:B31,2,FALSE)</f>
        <v>40.71</v>
      </c>
      <c r="M42" s="38">
        <f t="shared" si="0"/>
        <v>927.78</v>
      </c>
      <c r="N42" s="92">
        <f t="shared" si="1"/>
        <v>0</v>
      </c>
      <c r="O42" s="38">
        <f ca="1">IF('SVS UnterhaltsRG'!H61="",0,'SVS UnterhaltsRG'!H61)</f>
        <v>0</v>
      </c>
      <c r="P42" s="38">
        <f t="shared" si="2"/>
        <v>0</v>
      </c>
      <c r="Q42" s="38">
        <f t="shared" ca="1" si="3"/>
        <v>0</v>
      </c>
      <c r="R42" s="38">
        <f t="shared" si="4"/>
        <v>0</v>
      </c>
      <c r="S42" s="38">
        <f t="shared" ca="1" si="5"/>
        <v>0</v>
      </c>
      <c r="T42" s="16" t="str">
        <f t="shared" si="6"/>
        <v>Leistungswert eintragen</v>
      </c>
      <c r="U42" s="16">
        <f t="shared" si="7"/>
        <v>215</v>
      </c>
      <c r="V42" s="16">
        <f t="shared" si="8"/>
        <v>0</v>
      </c>
    </row>
    <row r="43" spans="1:22" ht="15" customHeight="1" x14ac:dyDescent="0.2">
      <c r="A43" s="78">
        <v>22</v>
      </c>
      <c r="B43" s="88">
        <v>372</v>
      </c>
      <c r="C43" s="89" t="s">
        <v>225</v>
      </c>
      <c r="D43" s="89"/>
      <c r="E43" s="89" t="s">
        <v>240</v>
      </c>
      <c r="F43" s="89" t="s">
        <v>227</v>
      </c>
      <c r="G43" s="90">
        <v>35.950000000000003</v>
      </c>
      <c r="H43" s="90"/>
      <c r="I43" s="90"/>
      <c r="J43" s="78" t="s">
        <v>307</v>
      </c>
      <c r="K43" s="90">
        <v>5</v>
      </c>
      <c r="L43" s="38">
        <f>VLOOKUP(K43,Reinigungstage!A10:B31,2,FALSE)</f>
        <v>196</v>
      </c>
      <c r="M43" s="38">
        <f t="shared" si="0"/>
        <v>7046.2</v>
      </c>
      <c r="N43" s="92">
        <f t="shared" si="1"/>
        <v>0</v>
      </c>
      <c r="O43" s="38">
        <f ca="1">IF('SVS UnterhaltsRG'!H61="",0,'SVS UnterhaltsRG'!H61)</f>
        <v>0</v>
      </c>
      <c r="P43" s="38">
        <f t="shared" si="2"/>
        <v>0</v>
      </c>
      <c r="Q43" s="38">
        <f t="shared" ca="1" si="3"/>
        <v>0</v>
      </c>
      <c r="R43" s="38">
        <f t="shared" si="4"/>
        <v>0</v>
      </c>
      <c r="S43" s="38">
        <f t="shared" ca="1" si="5"/>
        <v>0</v>
      </c>
      <c r="T43" s="16" t="str">
        <f t="shared" si="6"/>
        <v>Leistungswert eintragen</v>
      </c>
      <c r="U43" s="16">
        <f t="shared" si="7"/>
        <v>165</v>
      </c>
      <c r="V43" s="16">
        <f t="shared" si="8"/>
        <v>0</v>
      </c>
    </row>
    <row r="44" spans="1:22" ht="15" customHeight="1" x14ac:dyDescent="0.2">
      <c r="A44" s="78">
        <v>23</v>
      </c>
      <c r="B44" s="88">
        <v>373</v>
      </c>
      <c r="C44" s="89" t="s">
        <v>225</v>
      </c>
      <c r="D44" s="89"/>
      <c r="E44" s="89" t="s">
        <v>241</v>
      </c>
      <c r="F44" s="89" t="s">
        <v>242</v>
      </c>
      <c r="G44" s="90">
        <v>2.88</v>
      </c>
      <c r="H44" s="90"/>
      <c r="I44" s="90"/>
      <c r="J44" s="78" t="s">
        <v>310</v>
      </c>
      <c r="K44" s="90">
        <v>0</v>
      </c>
      <c r="L44" s="38">
        <f>VLOOKUP(K44,Reinigungstage!A10:B31,2,FALSE)</f>
        <v>0</v>
      </c>
      <c r="M44" s="38">
        <f t="shared" si="0"/>
        <v>0</v>
      </c>
      <c r="N44" s="92">
        <f t="shared" si="1"/>
        <v>0</v>
      </c>
      <c r="O44" s="38">
        <f ca="1">IF('SVS UnterhaltsRG'!H61="",0,'SVS UnterhaltsRG'!H61)</f>
        <v>0</v>
      </c>
      <c r="P44" s="38">
        <f t="shared" si="2"/>
        <v>0</v>
      </c>
      <c r="Q44" s="38">
        <f t="shared" si="3"/>
        <v>0</v>
      </c>
      <c r="R44" s="38">
        <f t="shared" si="4"/>
        <v>0</v>
      </c>
      <c r="S44" s="38">
        <f t="shared" si="5"/>
        <v>0</v>
      </c>
      <c r="T44" s="16" t="str">
        <f t="shared" si="6"/>
        <v/>
      </c>
      <c r="U44" s="16">
        <f t="shared" si="7"/>
        <v>300</v>
      </c>
      <c r="V44" s="16">
        <f t="shared" si="8"/>
        <v>0</v>
      </c>
    </row>
    <row r="45" spans="1:22" ht="15" customHeight="1" x14ac:dyDescent="0.2">
      <c r="A45" s="78">
        <v>24</v>
      </c>
      <c r="B45" s="88">
        <v>374</v>
      </c>
      <c r="C45" s="89" t="s">
        <v>225</v>
      </c>
      <c r="D45" s="89"/>
      <c r="E45" s="89" t="s">
        <v>243</v>
      </c>
      <c r="F45" s="89" t="s">
        <v>244</v>
      </c>
      <c r="G45" s="90">
        <v>2.57</v>
      </c>
      <c r="H45" s="90"/>
      <c r="I45" s="90"/>
      <c r="J45" s="78" t="s">
        <v>310</v>
      </c>
      <c r="K45" s="90">
        <v>0</v>
      </c>
      <c r="L45" s="38">
        <f>VLOOKUP(K45,Reinigungstage!A10:B31,2,FALSE)</f>
        <v>0</v>
      </c>
      <c r="M45" s="38">
        <f t="shared" si="0"/>
        <v>0</v>
      </c>
      <c r="N45" s="92">
        <f t="shared" si="1"/>
        <v>0</v>
      </c>
      <c r="O45" s="38">
        <f ca="1">IF('SVS UnterhaltsRG'!H61="",0,'SVS UnterhaltsRG'!H61)</f>
        <v>0</v>
      </c>
      <c r="P45" s="38">
        <f t="shared" si="2"/>
        <v>0</v>
      </c>
      <c r="Q45" s="38">
        <f t="shared" si="3"/>
        <v>0</v>
      </c>
      <c r="R45" s="38">
        <f t="shared" si="4"/>
        <v>0</v>
      </c>
      <c r="S45" s="38">
        <f t="shared" si="5"/>
        <v>0</v>
      </c>
      <c r="T45" s="16" t="str">
        <f t="shared" si="6"/>
        <v/>
      </c>
      <c r="U45" s="16">
        <f t="shared" si="7"/>
        <v>300</v>
      </c>
      <c r="V45" s="16">
        <f t="shared" si="8"/>
        <v>0</v>
      </c>
    </row>
    <row r="46" spans="1:22" ht="15" customHeight="1" x14ac:dyDescent="0.2">
      <c r="A46" s="78">
        <v>25</v>
      </c>
      <c r="B46" s="88">
        <v>375</v>
      </c>
      <c r="C46" s="89" t="s">
        <v>225</v>
      </c>
      <c r="D46" s="89"/>
      <c r="E46" s="89" t="s">
        <v>245</v>
      </c>
      <c r="F46" s="89" t="s">
        <v>229</v>
      </c>
      <c r="G46" s="90">
        <v>71.91</v>
      </c>
      <c r="H46" s="90"/>
      <c r="I46" s="90"/>
      <c r="J46" s="78" t="s">
        <v>313</v>
      </c>
      <c r="K46" s="90">
        <v>5</v>
      </c>
      <c r="L46" s="38">
        <f>VLOOKUP(K46,Reinigungstage!A10:B31,2,FALSE)</f>
        <v>196</v>
      </c>
      <c r="M46" s="38">
        <f t="shared" si="0"/>
        <v>14094.36</v>
      </c>
      <c r="N46" s="92">
        <f t="shared" si="1"/>
        <v>0</v>
      </c>
      <c r="O46" s="38">
        <f ca="1">IF('SVS UnterhaltsRG'!H61="",0,'SVS UnterhaltsRG'!H61)</f>
        <v>0</v>
      </c>
      <c r="P46" s="38">
        <f t="shared" si="2"/>
        <v>0</v>
      </c>
      <c r="Q46" s="38">
        <f t="shared" ca="1" si="3"/>
        <v>0</v>
      </c>
      <c r="R46" s="38">
        <f t="shared" si="4"/>
        <v>0</v>
      </c>
      <c r="S46" s="38">
        <f t="shared" ca="1" si="5"/>
        <v>0</v>
      </c>
      <c r="T46" s="16" t="str">
        <f t="shared" si="6"/>
        <v>Leistungswert eintragen</v>
      </c>
      <c r="U46" s="16">
        <f t="shared" si="7"/>
        <v>450</v>
      </c>
      <c r="V46" s="16">
        <f t="shared" si="8"/>
        <v>0</v>
      </c>
    </row>
    <row r="47" spans="1:22" ht="15" customHeight="1" x14ac:dyDescent="0.2">
      <c r="A47" s="78">
        <v>26</v>
      </c>
      <c r="B47" s="88">
        <v>376</v>
      </c>
      <c r="C47" s="89" t="s">
        <v>225</v>
      </c>
      <c r="D47" s="89"/>
      <c r="E47" s="89" t="s">
        <v>245</v>
      </c>
      <c r="F47" s="89" t="s">
        <v>229</v>
      </c>
      <c r="G47" s="90">
        <v>102</v>
      </c>
      <c r="H47" s="90"/>
      <c r="I47" s="90"/>
      <c r="J47" s="78" t="s">
        <v>313</v>
      </c>
      <c r="K47" s="90">
        <v>5</v>
      </c>
      <c r="L47" s="38">
        <f>VLOOKUP(K47,Reinigungstage!A10:B31,2,FALSE)</f>
        <v>196</v>
      </c>
      <c r="M47" s="38">
        <f t="shared" si="0"/>
        <v>19992</v>
      </c>
      <c r="N47" s="92">
        <f t="shared" si="1"/>
        <v>0</v>
      </c>
      <c r="O47" s="38">
        <f ca="1">IF('SVS UnterhaltsRG'!H61="",0,'SVS UnterhaltsRG'!H61)</f>
        <v>0</v>
      </c>
      <c r="P47" s="38">
        <f t="shared" si="2"/>
        <v>0</v>
      </c>
      <c r="Q47" s="38">
        <f t="shared" ca="1" si="3"/>
        <v>0</v>
      </c>
      <c r="R47" s="38">
        <f t="shared" si="4"/>
        <v>0</v>
      </c>
      <c r="S47" s="38">
        <f t="shared" ca="1" si="5"/>
        <v>0</v>
      </c>
      <c r="T47" s="16" t="str">
        <f t="shared" si="6"/>
        <v>Leistungswert eintragen</v>
      </c>
      <c r="U47" s="16">
        <f t="shared" si="7"/>
        <v>450</v>
      </c>
      <c r="V47" s="16">
        <f t="shared" si="8"/>
        <v>0</v>
      </c>
    </row>
    <row r="48" spans="1:22" ht="15" customHeight="1" x14ac:dyDescent="0.2">
      <c r="A48" s="78">
        <v>27</v>
      </c>
      <c r="B48" s="88">
        <v>377</v>
      </c>
      <c r="C48" s="89" t="s">
        <v>225</v>
      </c>
      <c r="D48" s="89"/>
      <c r="E48" s="89" t="s">
        <v>245</v>
      </c>
      <c r="F48" s="89" t="s">
        <v>229</v>
      </c>
      <c r="G48" s="90">
        <v>72</v>
      </c>
      <c r="H48" s="90"/>
      <c r="I48" s="90"/>
      <c r="J48" s="78" t="s">
        <v>313</v>
      </c>
      <c r="K48" s="90">
        <v>5</v>
      </c>
      <c r="L48" s="38">
        <f>VLOOKUP(K48,Reinigungstage!A10:B31,2,FALSE)</f>
        <v>196</v>
      </c>
      <c r="M48" s="38">
        <f t="shared" si="0"/>
        <v>14112</v>
      </c>
      <c r="N48" s="92">
        <f t="shared" si="1"/>
        <v>0</v>
      </c>
      <c r="O48" s="38">
        <f ca="1">IF('SVS UnterhaltsRG'!H61="",0,'SVS UnterhaltsRG'!H61)</f>
        <v>0</v>
      </c>
      <c r="P48" s="38">
        <f t="shared" si="2"/>
        <v>0</v>
      </c>
      <c r="Q48" s="38">
        <f t="shared" ca="1" si="3"/>
        <v>0</v>
      </c>
      <c r="R48" s="38">
        <f t="shared" si="4"/>
        <v>0</v>
      </c>
      <c r="S48" s="38">
        <f t="shared" ca="1" si="5"/>
        <v>0</v>
      </c>
      <c r="T48" s="16" t="str">
        <f t="shared" si="6"/>
        <v>Leistungswert eintragen</v>
      </c>
      <c r="U48" s="16">
        <f t="shared" si="7"/>
        <v>450</v>
      </c>
      <c r="V48" s="16">
        <f t="shared" si="8"/>
        <v>0</v>
      </c>
    </row>
    <row r="49" spans="1:22" ht="15" customHeight="1" x14ac:dyDescent="0.2">
      <c r="A49" s="78">
        <v>28</v>
      </c>
      <c r="B49" s="88">
        <v>378</v>
      </c>
      <c r="C49" s="89" t="s">
        <v>225</v>
      </c>
      <c r="D49" s="89"/>
      <c r="E49" s="89" t="s">
        <v>246</v>
      </c>
      <c r="F49" s="89" t="s">
        <v>244</v>
      </c>
      <c r="G49" s="90">
        <v>4.8600000000000003</v>
      </c>
      <c r="H49" s="90"/>
      <c r="I49" s="90"/>
      <c r="J49" s="78" t="s">
        <v>310</v>
      </c>
      <c r="K49" s="90">
        <v>0</v>
      </c>
      <c r="L49" s="38">
        <f>VLOOKUP(K49,Reinigungstage!A10:B31,2,FALSE)</f>
        <v>0</v>
      </c>
      <c r="M49" s="38">
        <f t="shared" si="0"/>
        <v>0</v>
      </c>
      <c r="N49" s="92">
        <f t="shared" si="1"/>
        <v>0</v>
      </c>
      <c r="O49" s="38">
        <f ca="1">IF('SVS UnterhaltsRG'!H61="",0,'SVS UnterhaltsRG'!H61)</f>
        <v>0</v>
      </c>
      <c r="P49" s="38">
        <f t="shared" si="2"/>
        <v>0</v>
      </c>
      <c r="Q49" s="38">
        <f t="shared" si="3"/>
        <v>0</v>
      </c>
      <c r="R49" s="38">
        <f t="shared" si="4"/>
        <v>0</v>
      </c>
      <c r="S49" s="38">
        <f t="shared" si="5"/>
        <v>0</v>
      </c>
      <c r="T49" s="16" t="str">
        <f t="shared" si="6"/>
        <v/>
      </c>
      <c r="U49" s="16">
        <f t="shared" si="7"/>
        <v>300</v>
      </c>
      <c r="V49" s="16">
        <f t="shared" si="8"/>
        <v>0</v>
      </c>
    </row>
    <row r="50" spans="1:22" ht="15" customHeight="1" x14ac:dyDescent="0.2">
      <c r="A50" s="78">
        <v>29</v>
      </c>
      <c r="B50" s="88">
        <v>379</v>
      </c>
      <c r="C50" s="89" t="s">
        <v>225</v>
      </c>
      <c r="D50" s="89"/>
      <c r="E50" s="89" t="s">
        <v>247</v>
      </c>
      <c r="F50" s="89" t="s">
        <v>227</v>
      </c>
      <c r="G50" s="90">
        <v>36.31</v>
      </c>
      <c r="H50" s="90"/>
      <c r="I50" s="90"/>
      <c r="J50" s="78" t="s">
        <v>307</v>
      </c>
      <c r="K50" s="90">
        <v>5</v>
      </c>
      <c r="L50" s="38">
        <f>VLOOKUP(K50,Reinigungstage!A10:B31,2,FALSE)</f>
        <v>196</v>
      </c>
      <c r="M50" s="38">
        <f t="shared" si="0"/>
        <v>7116.76</v>
      </c>
      <c r="N50" s="92">
        <f t="shared" si="1"/>
        <v>0</v>
      </c>
      <c r="O50" s="38">
        <f ca="1">IF('SVS UnterhaltsRG'!H61="",0,'SVS UnterhaltsRG'!H61)</f>
        <v>0</v>
      </c>
      <c r="P50" s="38">
        <f t="shared" si="2"/>
        <v>0</v>
      </c>
      <c r="Q50" s="38">
        <f t="shared" ca="1" si="3"/>
        <v>0</v>
      </c>
      <c r="R50" s="38">
        <f t="shared" si="4"/>
        <v>0</v>
      </c>
      <c r="S50" s="38">
        <f t="shared" ca="1" si="5"/>
        <v>0</v>
      </c>
      <c r="T50" s="16" t="str">
        <f t="shared" si="6"/>
        <v>Leistungswert eintragen</v>
      </c>
      <c r="U50" s="16">
        <f t="shared" si="7"/>
        <v>165</v>
      </c>
      <c r="V50" s="16">
        <f t="shared" si="8"/>
        <v>0</v>
      </c>
    </row>
    <row r="51" spans="1:22" ht="15" customHeight="1" x14ac:dyDescent="0.2">
      <c r="A51" s="78">
        <v>30</v>
      </c>
      <c r="B51" s="88">
        <v>201</v>
      </c>
      <c r="C51" s="89" t="s">
        <v>248</v>
      </c>
      <c r="D51" s="89"/>
      <c r="E51" s="89" t="s">
        <v>226</v>
      </c>
      <c r="F51" s="89" t="s">
        <v>227</v>
      </c>
      <c r="G51" s="90">
        <v>39.299999999999997</v>
      </c>
      <c r="H51" s="90"/>
      <c r="I51" s="90"/>
      <c r="J51" s="78" t="s">
        <v>307</v>
      </c>
      <c r="K51" s="90">
        <v>5</v>
      </c>
      <c r="L51" s="38">
        <f>VLOOKUP(K51,Reinigungstage!A10:B31,2,FALSE)</f>
        <v>196</v>
      </c>
      <c r="M51" s="38">
        <f t="shared" si="0"/>
        <v>7702.8</v>
      </c>
      <c r="N51" s="92">
        <f t="shared" si="1"/>
        <v>0</v>
      </c>
      <c r="O51" s="38">
        <f ca="1">IF('SVS UnterhaltsRG'!H61="",0,'SVS UnterhaltsRG'!H61)</f>
        <v>0</v>
      </c>
      <c r="P51" s="38">
        <f t="shared" si="2"/>
        <v>0</v>
      </c>
      <c r="Q51" s="38">
        <f t="shared" ca="1" si="3"/>
        <v>0</v>
      </c>
      <c r="R51" s="38">
        <f t="shared" si="4"/>
        <v>0</v>
      </c>
      <c r="S51" s="38">
        <f t="shared" ca="1" si="5"/>
        <v>0</v>
      </c>
      <c r="T51" s="16" t="str">
        <f t="shared" si="6"/>
        <v>Leistungswert eintragen</v>
      </c>
      <c r="U51" s="16">
        <f t="shared" si="7"/>
        <v>165</v>
      </c>
      <c r="V51" s="16">
        <f t="shared" si="8"/>
        <v>0</v>
      </c>
    </row>
    <row r="52" spans="1:22" ht="15" customHeight="1" x14ac:dyDescent="0.2">
      <c r="A52" s="78">
        <v>31</v>
      </c>
      <c r="B52" s="88">
        <v>202</v>
      </c>
      <c r="C52" s="89" t="s">
        <v>248</v>
      </c>
      <c r="D52" s="89"/>
      <c r="E52" s="89" t="s">
        <v>249</v>
      </c>
      <c r="F52" s="89" t="s">
        <v>229</v>
      </c>
      <c r="G52" s="90">
        <v>36.75</v>
      </c>
      <c r="H52" s="90"/>
      <c r="I52" s="90"/>
      <c r="J52" s="78" t="s">
        <v>314</v>
      </c>
      <c r="K52" s="90">
        <v>3</v>
      </c>
      <c r="L52" s="38">
        <f>VLOOKUP(K52,Reinigungstage!A10:B31,2,FALSE)</f>
        <v>117.6</v>
      </c>
      <c r="M52" s="38">
        <f t="shared" si="0"/>
        <v>4321.8</v>
      </c>
      <c r="N52" s="92">
        <f t="shared" si="1"/>
        <v>0</v>
      </c>
      <c r="O52" s="38">
        <f ca="1">IF('SVS UnterhaltsRG'!H61="",0,'SVS UnterhaltsRG'!H61)</f>
        <v>0</v>
      </c>
      <c r="P52" s="38">
        <f t="shared" si="2"/>
        <v>0</v>
      </c>
      <c r="Q52" s="38">
        <f t="shared" ca="1" si="3"/>
        <v>0</v>
      </c>
      <c r="R52" s="38">
        <f t="shared" si="4"/>
        <v>0</v>
      </c>
      <c r="S52" s="38">
        <f t="shared" ca="1" si="5"/>
        <v>0</v>
      </c>
      <c r="T52" s="16" t="str">
        <f t="shared" si="6"/>
        <v>Leistungswert eintragen</v>
      </c>
      <c r="U52" s="16">
        <f t="shared" si="7"/>
        <v>195</v>
      </c>
      <c r="V52" s="16">
        <f t="shared" si="8"/>
        <v>0</v>
      </c>
    </row>
    <row r="53" spans="1:22" ht="15" customHeight="1" x14ac:dyDescent="0.2">
      <c r="A53" s="78">
        <v>32</v>
      </c>
      <c r="B53" s="88">
        <v>203</v>
      </c>
      <c r="C53" s="89" t="s">
        <v>248</v>
      </c>
      <c r="D53" s="89"/>
      <c r="E53" s="89" t="s">
        <v>250</v>
      </c>
      <c r="F53" s="89" t="s">
        <v>229</v>
      </c>
      <c r="G53" s="90">
        <v>14.42</v>
      </c>
      <c r="H53" s="90"/>
      <c r="I53" s="90"/>
      <c r="J53" s="78" t="s">
        <v>314</v>
      </c>
      <c r="K53" s="90">
        <v>3</v>
      </c>
      <c r="L53" s="38">
        <f>VLOOKUP(K53,Reinigungstage!A10:B31,2,FALSE)</f>
        <v>117.6</v>
      </c>
      <c r="M53" s="38">
        <f t="shared" si="0"/>
        <v>1695.79</v>
      </c>
      <c r="N53" s="92">
        <f t="shared" si="1"/>
        <v>0</v>
      </c>
      <c r="O53" s="38">
        <f ca="1">IF('SVS UnterhaltsRG'!H61="",0,'SVS UnterhaltsRG'!H61)</f>
        <v>0</v>
      </c>
      <c r="P53" s="38">
        <f t="shared" si="2"/>
        <v>0</v>
      </c>
      <c r="Q53" s="38">
        <f t="shared" ca="1" si="3"/>
        <v>0</v>
      </c>
      <c r="R53" s="38">
        <f t="shared" si="4"/>
        <v>0</v>
      </c>
      <c r="S53" s="38">
        <f t="shared" ca="1" si="5"/>
        <v>0</v>
      </c>
      <c r="T53" s="16" t="str">
        <f t="shared" si="6"/>
        <v>Leistungswert eintragen</v>
      </c>
      <c r="U53" s="16">
        <f t="shared" si="7"/>
        <v>195</v>
      </c>
      <c r="V53" s="16">
        <f t="shared" si="8"/>
        <v>0</v>
      </c>
    </row>
    <row r="54" spans="1:22" ht="15" customHeight="1" x14ac:dyDescent="0.2">
      <c r="A54" s="78">
        <v>33</v>
      </c>
      <c r="B54" s="88">
        <v>204</v>
      </c>
      <c r="C54" s="89" t="s">
        <v>248</v>
      </c>
      <c r="D54" s="89"/>
      <c r="E54" s="89" t="s">
        <v>251</v>
      </c>
      <c r="F54" s="89" t="s">
        <v>229</v>
      </c>
      <c r="G54" s="90">
        <v>25.14</v>
      </c>
      <c r="H54" s="90"/>
      <c r="I54" s="90"/>
      <c r="J54" s="78" t="s">
        <v>314</v>
      </c>
      <c r="K54" s="90">
        <v>3</v>
      </c>
      <c r="L54" s="38">
        <f>VLOOKUP(K54,Reinigungstage!A10:B31,2,FALSE)</f>
        <v>117.6</v>
      </c>
      <c r="M54" s="38">
        <f t="shared" ref="M54:M85" si="9">ROUND(IF(L54=0,0,L54*G54),2)</f>
        <v>2956.46</v>
      </c>
      <c r="N54" s="92">
        <f t="shared" ref="N54:N85" si="10">VLOOKUP(J54,$G$4:$H$14,2,FALSE)</f>
        <v>0</v>
      </c>
      <c r="O54" s="38">
        <f ca="1">IF('SVS UnterhaltsRG'!H61="",0,'SVS UnterhaltsRG'!H61)</f>
        <v>0</v>
      </c>
      <c r="P54" s="38">
        <f t="shared" ref="P54:P85" si="11">ROUND(IF(N54=0,0,M54/N54),2)</f>
        <v>0</v>
      </c>
      <c r="Q54" s="38">
        <f t="shared" ref="Q54:Q85" ca="1" si="12">IF(M54=0,0,IF(O54="",0,ROUND(P54*O54,2)))</f>
        <v>0</v>
      </c>
      <c r="R54" s="38">
        <f t="shared" ref="R54:R85" si="13">ROUND(IF(P54=0,0,P54/L54),2)</f>
        <v>0</v>
      </c>
      <c r="S54" s="38">
        <f t="shared" ref="S54:S85" ca="1" si="14">ROUND(IF(Q54=0,0,Q54/L54),2)</f>
        <v>0</v>
      </c>
      <c r="T54" s="16" t="str">
        <f t="shared" ref="T54:T85" si="15">IF(M54=0,"",IF(N54=0,"Leistungswert eintragen",IF(O54=0,"SVS prüfen","")))</f>
        <v>Leistungswert eintragen</v>
      </c>
      <c r="U54" s="16">
        <f t="shared" ref="U54:U85" si="16">VLOOKUP(J54,$U$4:$V$14,2,FALSE)</f>
        <v>195</v>
      </c>
      <c r="V54" s="16">
        <f t="shared" ref="V54:V85" si="17">IF(M54=0,0,IF(U54&lt;N54,1,IF(U54&gt;=N54,0,"")))</f>
        <v>0</v>
      </c>
    </row>
    <row r="55" spans="1:22" ht="15" customHeight="1" x14ac:dyDescent="0.2">
      <c r="A55" s="78">
        <v>34</v>
      </c>
      <c r="B55" s="88">
        <v>205</v>
      </c>
      <c r="C55" s="89" t="s">
        <v>248</v>
      </c>
      <c r="D55" s="89"/>
      <c r="E55" s="89" t="s">
        <v>252</v>
      </c>
      <c r="F55" s="89" t="s">
        <v>229</v>
      </c>
      <c r="G55" s="90">
        <v>9.1999999999999993</v>
      </c>
      <c r="H55" s="90"/>
      <c r="I55" s="90"/>
      <c r="J55" s="78" t="s">
        <v>309</v>
      </c>
      <c r="K55" s="90">
        <v>3</v>
      </c>
      <c r="L55" s="38">
        <f>VLOOKUP(K55,Reinigungstage!A10:B31,2,FALSE)</f>
        <v>117.6</v>
      </c>
      <c r="M55" s="38">
        <f t="shared" si="9"/>
        <v>1081.92</v>
      </c>
      <c r="N55" s="92">
        <f t="shared" si="10"/>
        <v>0</v>
      </c>
      <c r="O55" s="38">
        <f ca="1">IF('SVS UnterhaltsRG'!H61="",0,'SVS UnterhaltsRG'!H61)</f>
        <v>0</v>
      </c>
      <c r="P55" s="38">
        <f t="shared" si="11"/>
        <v>0</v>
      </c>
      <c r="Q55" s="38">
        <f t="shared" ca="1" si="12"/>
        <v>0</v>
      </c>
      <c r="R55" s="38">
        <f t="shared" si="13"/>
        <v>0</v>
      </c>
      <c r="S55" s="38">
        <f t="shared" ca="1" si="14"/>
        <v>0</v>
      </c>
      <c r="T55" s="16" t="str">
        <f t="shared" si="15"/>
        <v>Leistungswert eintragen</v>
      </c>
      <c r="U55" s="16">
        <f t="shared" si="16"/>
        <v>215</v>
      </c>
      <c r="V55" s="16">
        <f t="shared" si="17"/>
        <v>0</v>
      </c>
    </row>
    <row r="56" spans="1:22" ht="15" customHeight="1" x14ac:dyDescent="0.2">
      <c r="A56" s="78">
        <v>35</v>
      </c>
      <c r="B56" s="88">
        <v>206</v>
      </c>
      <c r="C56" s="89" t="s">
        <v>248</v>
      </c>
      <c r="D56" s="89"/>
      <c r="E56" s="89" t="s">
        <v>253</v>
      </c>
      <c r="F56" s="89" t="s">
        <v>229</v>
      </c>
      <c r="G56" s="90">
        <v>52.6</v>
      </c>
      <c r="H56" s="90"/>
      <c r="I56" s="90"/>
      <c r="J56" s="78" t="s">
        <v>310</v>
      </c>
      <c r="K56" s="78" t="s">
        <v>157</v>
      </c>
      <c r="L56" s="38">
        <f>VLOOKUP(K56,Reinigungstage!A10:B31,2,FALSE)</f>
        <v>4</v>
      </c>
      <c r="M56" s="38">
        <f t="shared" si="9"/>
        <v>210.4</v>
      </c>
      <c r="N56" s="92">
        <f t="shared" si="10"/>
        <v>0</v>
      </c>
      <c r="O56" s="38">
        <f ca="1">IF('SVS UnterhaltsRG'!H61="",0,'SVS UnterhaltsRG'!H61)</f>
        <v>0</v>
      </c>
      <c r="P56" s="38">
        <f t="shared" si="11"/>
        <v>0</v>
      </c>
      <c r="Q56" s="38">
        <f t="shared" ca="1" si="12"/>
        <v>0</v>
      </c>
      <c r="R56" s="38">
        <f t="shared" si="13"/>
        <v>0</v>
      </c>
      <c r="S56" s="38">
        <f t="shared" ca="1" si="14"/>
        <v>0</v>
      </c>
      <c r="T56" s="16" t="str">
        <f t="shared" si="15"/>
        <v>Leistungswert eintragen</v>
      </c>
      <c r="U56" s="16">
        <f t="shared" si="16"/>
        <v>300</v>
      </c>
      <c r="V56" s="16">
        <f t="shared" si="17"/>
        <v>0</v>
      </c>
    </row>
    <row r="57" spans="1:22" ht="15" customHeight="1" x14ac:dyDescent="0.2">
      <c r="A57" s="78">
        <v>36</v>
      </c>
      <c r="B57" s="88">
        <v>207</v>
      </c>
      <c r="C57" s="89" t="s">
        <v>248</v>
      </c>
      <c r="D57" s="89"/>
      <c r="E57" s="89" t="s">
        <v>254</v>
      </c>
      <c r="F57" s="89" t="s">
        <v>229</v>
      </c>
      <c r="G57" s="90">
        <v>7.65</v>
      </c>
      <c r="H57" s="90"/>
      <c r="I57" s="90"/>
      <c r="J57" s="78" t="s">
        <v>310</v>
      </c>
      <c r="K57" s="90">
        <v>0</v>
      </c>
      <c r="L57" s="38">
        <f>VLOOKUP(K57,Reinigungstage!A10:B31,2,FALSE)</f>
        <v>0</v>
      </c>
      <c r="M57" s="38">
        <f t="shared" si="9"/>
        <v>0</v>
      </c>
      <c r="N57" s="92">
        <f t="shared" si="10"/>
        <v>0</v>
      </c>
      <c r="O57" s="38">
        <f ca="1">IF('SVS UnterhaltsRG'!H61="",0,'SVS UnterhaltsRG'!H61)</f>
        <v>0</v>
      </c>
      <c r="P57" s="38">
        <f t="shared" si="11"/>
        <v>0</v>
      </c>
      <c r="Q57" s="38">
        <f t="shared" si="12"/>
        <v>0</v>
      </c>
      <c r="R57" s="38">
        <f t="shared" si="13"/>
        <v>0</v>
      </c>
      <c r="S57" s="38">
        <f t="shared" si="14"/>
        <v>0</v>
      </c>
      <c r="T57" s="16" t="str">
        <f t="shared" si="15"/>
        <v/>
      </c>
      <c r="U57" s="16">
        <f t="shared" si="16"/>
        <v>300</v>
      </c>
      <c r="V57" s="16">
        <f t="shared" si="17"/>
        <v>0</v>
      </c>
    </row>
    <row r="58" spans="1:22" ht="15" customHeight="1" x14ac:dyDescent="0.2">
      <c r="A58" s="78">
        <v>37</v>
      </c>
      <c r="B58" s="88">
        <v>208</v>
      </c>
      <c r="C58" s="89" t="s">
        <v>248</v>
      </c>
      <c r="D58" s="89"/>
      <c r="E58" s="89" t="s">
        <v>255</v>
      </c>
      <c r="F58" s="89" t="s">
        <v>227</v>
      </c>
      <c r="G58" s="90">
        <v>3.31</v>
      </c>
      <c r="H58" s="90"/>
      <c r="I58" s="90"/>
      <c r="J58" s="78" t="s">
        <v>312</v>
      </c>
      <c r="K58" s="90">
        <v>5</v>
      </c>
      <c r="L58" s="38">
        <f>VLOOKUP(K58,Reinigungstage!A10:B31,2,FALSE)</f>
        <v>196</v>
      </c>
      <c r="M58" s="38">
        <f t="shared" si="9"/>
        <v>648.76</v>
      </c>
      <c r="N58" s="92">
        <f t="shared" si="10"/>
        <v>0</v>
      </c>
      <c r="O58" s="38">
        <f ca="1">IF('SVS UnterhaltsRG'!H61="",0,'SVS UnterhaltsRG'!H61)</f>
        <v>0</v>
      </c>
      <c r="P58" s="38">
        <f t="shared" si="11"/>
        <v>0</v>
      </c>
      <c r="Q58" s="38">
        <f t="shared" ca="1" si="12"/>
        <v>0</v>
      </c>
      <c r="R58" s="38">
        <f t="shared" si="13"/>
        <v>0</v>
      </c>
      <c r="S58" s="38">
        <f t="shared" ca="1" si="14"/>
        <v>0</v>
      </c>
      <c r="T58" s="16" t="str">
        <f t="shared" si="15"/>
        <v>Leistungswert eintragen</v>
      </c>
      <c r="U58" s="16">
        <f t="shared" si="16"/>
        <v>75</v>
      </c>
      <c r="V58" s="16">
        <f t="shared" si="17"/>
        <v>0</v>
      </c>
    </row>
    <row r="59" spans="1:22" ht="15" customHeight="1" x14ac:dyDescent="0.2">
      <c r="A59" s="78">
        <v>38</v>
      </c>
      <c r="B59" s="88">
        <v>209</v>
      </c>
      <c r="C59" s="89" t="s">
        <v>248</v>
      </c>
      <c r="D59" s="89"/>
      <c r="E59" s="89" t="s">
        <v>255</v>
      </c>
      <c r="F59" s="89" t="s">
        <v>227</v>
      </c>
      <c r="G59" s="90">
        <v>3.31</v>
      </c>
      <c r="H59" s="90"/>
      <c r="I59" s="90"/>
      <c r="J59" s="78" t="s">
        <v>312</v>
      </c>
      <c r="K59" s="90">
        <v>5</v>
      </c>
      <c r="L59" s="38">
        <f>VLOOKUP(K59,Reinigungstage!A10:B31,2,FALSE)</f>
        <v>196</v>
      </c>
      <c r="M59" s="38">
        <f t="shared" si="9"/>
        <v>648.76</v>
      </c>
      <c r="N59" s="92">
        <f t="shared" si="10"/>
        <v>0</v>
      </c>
      <c r="O59" s="38">
        <f ca="1">IF('SVS UnterhaltsRG'!H61="",0,'SVS UnterhaltsRG'!H61)</f>
        <v>0</v>
      </c>
      <c r="P59" s="38">
        <f t="shared" si="11"/>
        <v>0</v>
      </c>
      <c r="Q59" s="38">
        <f t="shared" ca="1" si="12"/>
        <v>0</v>
      </c>
      <c r="R59" s="38">
        <f t="shared" si="13"/>
        <v>0</v>
      </c>
      <c r="S59" s="38">
        <f t="shared" ca="1" si="14"/>
        <v>0</v>
      </c>
      <c r="T59" s="16" t="str">
        <f t="shared" si="15"/>
        <v>Leistungswert eintragen</v>
      </c>
      <c r="U59" s="16">
        <f t="shared" si="16"/>
        <v>75</v>
      </c>
      <c r="V59" s="16">
        <f t="shared" si="17"/>
        <v>0</v>
      </c>
    </row>
    <row r="60" spans="1:22" ht="15" customHeight="1" x14ac:dyDescent="0.2">
      <c r="A60" s="78">
        <v>39</v>
      </c>
      <c r="B60" s="88">
        <v>211</v>
      </c>
      <c r="C60" s="89" t="s">
        <v>248</v>
      </c>
      <c r="D60" s="89"/>
      <c r="E60" s="89" t="s">
        <v>233</v>
      </c>
      <c r="F60" s="89" t="s">
        <v>229</v>
      </c>
      <c r="G60" s="90">
        <v>67.319999999999993</v>
      </c>
      <c r="H60" s="90"/>
      <c r="I60" s="90"/>
      <c r="J60" s="78" t="s">
        <v>308</v>
      </c>
      <c r="K60" s="90">
        <v>3</v>
      </c>
      <c r="L60" s="38">
        <f>VLOOKUP(K60,Reinigungstage!A10:B31,2,FALSE)</f>
        <v>117.6</v>
      </c>
      <c r="M60" s="38">
        <f t="shared" si="9"/>
        <v>7916.83</v>
      </c>
      <c r="N60" s="92">
        <f t="shared" si="10"/>
        <v>0</v>
      </c>
      <c r="O60" s="38">
        <f ca="1">IF('SVS UnterhaltsRG'!H61="",0,'SVS UnterhaltsRG'!H61)</f>
        <v>0</v>
      </c>
      <c r="P60" s="38">
        <f t="shared" si="11"/>
        <v>0</v>
      </c>
      <c r="Q60" s="38">
        <f t="shared" ca="1" si="12"/>
        <v>0</v>
      </c>
      <c r="R60" s="38">
        <f t="shared" si="13"/>
        <v>0</v>
      </c>
      <c r="S60" s="38">
        <f t="shared" ca="1" si="14"/>
        <v>0</v>
      </c>
      <c r="T60" s="16" t="str">
        <f t="shared" si="15"/>
        <v>Leistungswert eintragen</v>
      </c>
      <c r="U60" s="16">
        <f t="shared" si="16"/>
        <v>240</v>
      </c>
      <c r="V60" s="16">
        <f t="shared" si="17"/>
        <v>0</v>
      </c>
    </row>
    <row r="61" spans="1:22" ht="15" customHeight="1" x14ac:dyDescent="0.2">
      <c r="A61" s="78">
        <v>40</v>
      </c>
      <c r="B61" s="88">
        <v>212</v>
      </c>
      <c r="C61" s="89" t="s">
        <v>248</v>
      </c>
      <c r="D61" s="89"/>
      <c r="E61" s="89" t="s">
        <v>234</v>
      </c>
      <c r="F61" s="89" t="s">
        <v>229</v>
      </c>
      <c r="G61" s="90">
        <v>16.29</v>
      </c>
      <c r="H61" s="90"/>
      <c r="I61" s="90"/>
      <c r="J61" s="78" t="s">
        <v>309</v>
      </c>
      <c r="K61" s="90">
        <v>1</v>
      </c>
      <c r="L61" s="38">
        <f>VLOOKUP(K61,Reinigungstage!A10:B31,2,FALSE)</f>
        <v>40.71</v>
      </c>
      <c r="M61" s="38">
        <f t="shared" si="9"/>
        <v>663.17</v>
      </c>
      <c r="N61" s="92">
        <f t="shared" si="10"/>
        <v>0</v>
      </c>
      <c r="O61" s="38">
        <f ca="1">IF('SVS UnterhaltsRG'!H61="",0,'SVS UnterhaltsRG'!H61)</f>
        <v>0</v>
      </c>
      <c r="P61" s="38">
        <f t="shared" si="11"/>
        <v>0</v>
      </c>
      <c r="Q61" s="38">
        <f t="shared" ca="1" si="12"/>
        <v>0</v>
      </c>
      <c r="R61" s="38">
        <f t="shared" si="13"/>
        <v>0</v>
      </c>
      <c r="S61" s="38">
        <f t="shared" ca="1" si="14"/>
        <v>0</v>
      </c>
      <c r="T61" s="16" t="str">
        <f t="shared" si="15"/>
        <v>Leistungswert eintragen</v>
      </c>
      <c r="U61" s="16">
        <f t="shared" si="16"/>
        <v>215</v>
      </c>
      <c r="V61" s="16">
        <f t="shared" si="17"/>
        <v>0</v>
      </c>
    </row>
    <row r="62" spans="1:22" ht="15" customHeight="1" x14ac:dyDescent="0.2">
      <c r="A62" s="78">
        <v>41</v>
      </c>
      <c r="B62" s="88">
        <v>213</v>
      </c>
      <c r="C62" s="89" t="s">
        <v>248</v>
      </c>
      <c r="D62" s="89"/>
      <c r="E62" s="89" t="s">
        <v>233</v>
      </c>
      <c r="F62" s="89" t="s">
        <v>229</v>
      </c>
      <c r="G62" s="90">
        <v>59.38</v>
      </c>
      <c r="H62" s="90"/>
      <c r="I62" s="90"/>
      <c r="J62" s="78" t="s">
        <v>308</v>
      </c>
      <c r="K62" s="90">
        <v>3</v>
      </c>
      <c r="L62" s="38">
        <f>VLOOKUP(K62,Reinigungstage!A10:B31,2,FALSE)</f>
        <v>117.6</v>
      </c>
      <c r="M62" s="38">
        <f t="shared" si="9"/>
        <v>6983.09</v>
      </c>
      <c r="N62" s="92">
        <f t="shared" si="10"/>
        <v>0</v>
      </c>
      <c r="O62" s="38">
        <f ca="1">IF('SVS UnterhaltsRG'!H61="",0,'SVS UnterhaltsRG'!H61)</f>
        <v>0</v>
      </c>
      <c r="P62" s="38">
        <f t="shared" si="11"/>
        <v>0</v>
      </c>
      <c r="Q62" s="38">
        <f t="shared" ca="1" si="12"/>
        <v>0</v>
      </c>
      <c r="R62" s="38">
        <f t="shared" si="13"/>
        <v>0</v>
      </c>
      <c r="S62" s="38">
        <f t="shared" ca="1" si="14"/>
        <v>0</v>
      </c>
      <c r="T62" s="16" t="str">
        <f t="shared" si="15"/>
        <v>Leistungswert eintragen</v>
      </c>
      <c r="U62" s="16">
        <f t="shared" si="16"/>
        <v>240</v>
      </c>
      <c r="V62" s="16">
        <f t="shared" si="17"/>
        <v>0</v>
      </c>
    </row>
    <row r="63" spans="1:22" ht="15" customHeight="1" x14ac:dyDescent="0.2">
      <c r="A63" s="78">
        <v>42</v>
      </c>
      <c r="B63" s="88">
        <v>214</v>
      </c>
      <c r="C63" s="89" t="s">
        <v>248</v>
      </c>
      <c r="D63" s="89"/>
      <c r="E63" s="89" t="s">
        <v>233</v>
      </c>
      <c r="F63" s="89" t="s">
        <v>229</v>
      </c>
      <c r="G63" s="90">
        <v>59.39</v>
      </c>
      <c r="H63" s="90"/>
      <c r="I63" s="90"/>
      <c r="J63" s="78" t="s">
        <v>308</v>
      </c>
      <c r="K63" s="90">
        <v>3</v>
      </c>
      <c r="L63" s="38">
        <f>VLOOKUP(K63,Reinigungstage!A10:B31,2,FALSE)</f>
        <v>117.6</v>
      </c>
      <c r="M63" s="38">
        <f t="shared" si="9"/>
        <v>6984.26</v>
      </c>
      <c r="N63" s="92">
        <f t="shared" si="10"/>
        <v>0</v>
      </c>
      <c r="O63" s="38">
        <f ca="1">IF('SVS UnterhaltsRG'!H61="",0,'SVS UnterhaltsRG'!H61)</f>
        <v>0</v>
      </c>
      <c r="P63" s="38">
        <f t="shared" si="11"/>
        <v>0</v>
      </c>
      <c r="Q63" s="38">
        <f t="shared" ca="1" si="12"/>
        <v>0</v>
      </c>
      <c r="R63" s="38">
        <f t="shared" si="13"/>
        <v>0</v>
      </c>
      <c r="S63" s="38">
        <f t="shared" ca="1" si="14"/>
        <v>0</v>
      </c>
      <c r="T63" s="16" t="str">
        <f t="shared" si="15"/>
        <v>Leistungswert eintragen</v>
      </c>
      <c r="U63" s="16">
        <f t="shared" si="16"/>
        <v>240</v>
      </c>
      <c r="V63" s="16">
        <f t="shared" si="17"/>
        <v>0</v>
      </c>
    </row>
    <row r="64" spans="1:22" ht="15" customHeight="1" x14ac:dyDescent="0.2">
      <c r="A64" s="78">
        <v>43</v>
      </c>
      <c r="B64" s="88">
        <v>215</v>
      </c>
      <c r="C64" s="89" t="s">
        <v>248</v>
      </c>
      <c r="D64" s="89"/>
      <c r="E64" s="89" t="s">
        <v>234</v>
      </c>
      <c r="F64" s="89" t="s">
        <v>229</v>
      </c>
      <c r="G64" s="90">
        <v>15.67</v>
      </c>
      <c r="H64" s="90"/>
      <c r="I64" s="90"/>
      <c r="J64" s="78" t="s">
        <v>309</v>
      </c>
      <c r="K64" s="90">
        <v>1</v>
      </c>
      <c r="L64" s="38">
        <f>VLOOKUP(K64,Reinigungstage!A10:B31,2,FALSE)</f>
        <v>40.71</v>
      </c>
      <c r="M64" s="38">
        <f t="shared" si="9"/>
        <v>637.92999999999995</v>
      </c>
      <c r="N64" s="92">
        <f t="shared" si="10"/>
        <v>0</v>
      </c>
      <c r="O64" s="38">
        <f ca="1">IF('SVS UnterhaltsRG'!H61="",0,'SVS UnterhaltsRG'!H61)</f>
        <v>0</v>
      </c>
      <c r="P64" s="38">
        <f t="shared" si="11"/>
        <v>0</v>
      </c>
      <c r="Q64" s="38">
        <f t="shared" ca="1" si="12"/>
        <v>0</v>
      </c>
      <c r="R64" s="38">
        <f t="shared" si="13"/>
        <v>0</v>
      </c>
      <c r="S64" s="38">
        <f t="shared" ca="1" si="14"/>
        <v>0</v>
      </c>
      <c r="T64" s="16" t="str">
        <f t="shared" si="15"/>
        <v>Leistungswert eintragen</v>
      </c>
      <c r="U64" s="16">
        <f t="shared" si="16"/>
        <v>215</v>
      </c>
      <c r="V64" s="16">
        <f t="shared" si="17"/>
        <v>0</v>
      </c>
    </row>
    <row r="65" spans="1:22" ht="15" customHeight="1" x14ac:dyDescent="0.2">
      <c r="A65" s="78">
        <v>44</v>
      </c>
      <c r="B65" s="88">
        <v>216</v>
      </c>
      <c r="C65" s="89" t="s">
        <v>248</v>
      </c>
      <c r="D65" s="89"/>
      <c r="E65" s="89" t="s">
        <v>233</v>
      </c>
      <c r="F65" s="89" t="s">
        <v>229</v>
      </c>
      <c r="G65" s="90">
        <v>59.38</v>
      </c>
      <c r="H65" s="90"/>
      <c r="I65" s="90"/>
      <c r="J65" s="78" t="s">
        <v>308</v>
      </c>
      <c r="K65" s="90">
        <v>3</v>
      </c>
      <c r="L65" s="38">
        <f>VLOOKUP(K65,Reinigungstage!A10:B31,2,FALSE)</f>
        <v>117.6</v>
      </c>
      <c r="M65" s="38">
        <f t="shared" si="9"/>
        <v>6983.09</v>
      </c>
      <c r="N65" s="92">
        <f t="shared" si="10"/>
        <v>0</v>
      </c>
      <c r="O65" s="38">
        <f ca="1">IF('SVS UnterhaltsRG'!H61="",0,'SVS UnterhaltsRG'!H61)</f>
        <v>0</v>
      </c>
      <c r="P65" s="38">
        <f t="shared" si="11"/>
        <v>0</v>
      </c>
      <c r="Q65" s="38">
        <f t="shared" ca="1" si="12"/>
        <v>0</v>
      </c>
      <c r="R65" s="38">
        <f t="shared" si="13"/>
        <v>0</v>
      </c>
      <c r="S65" s="38">
        <f t="shared" ca="1" si="14"/>
        <v>0</v>
      </c>
      <c r="T65" s="16" t="str">
        <f t="shared" si="15"/>
        <v>Leistungswert eintragen</v>
      </c>
      <c r="U65" s="16">
        <f t="shared" si="16"/>
        <v>240</v>
      </c>
      <c r="V65" s="16">
        <f t="shared" si="17"/>
        <v>0</v>
      </c>
    </row>
    <row r="66" spans="1:22" ht="15" customHeight="1" x14ac:dyDescent="0.2">
      <c r="A66" s="78">
        <v>45</v>
      </c>
      <c r="B66" s="88">
        <v>217</v>
      </c>
      <c r="C66" s="89" t="s">
        <v>248</v>
      </c>
      <c r="D66" s="89"/>
      <c r="E66" s="89" t="s">
        <v>233</v>
      </c>
      <c r="F66" s="89" t="s">
        <v>229</v>
      </c>
      <c r="G66" s="90">
        <v>59.39</v>
      </c>
      <c r="H66" s="90"/>
      <c r="I66" s="90"/>
      <c r="J66" s="78" t="s">
        <v>308</v>
      </c>
      <c r="K66" s="90">
        <v>3</v>
      </c>
      <c r="L66" s="38">
        <f>VLOOKUP(K66,Reinigungstage!A10:B31,2,FALSE)</f>
        <v>117.6</v>
      </c>
      <c r="M66" s="38">
        <f t="shared" si="9"/>
        <v>6984.26</v>
      </c>
      <c r="N66" s="92">
        <f t="shared" si="10"/>
        <v>0</v>
      </c>
      <c r="O66" s="38">
        <f ca="1">IF('SVS UnterhaltsRG'!H61="",0,'SVS UnterhaltsRG'!H61)</f>
        <v>0</v>
      </c>
      <c r="P66" s="38">
        <f t="shared" si="11"/>
        <v>0</v>
      </c>
      <c r="Q66" s="38">
        <f t="shared" ca="1" si="12"/>
        <v>0</v>
      </c>
      <c r="R66" s="38">
        <f t="shared" si="13"/>
        <v>0</v>
      </c>
      <c r="S66" s="38">
        <f t="shared" ca="1" si="14"/>
        <v>0</v>
      </c>
      <c r="T66" s="16" t="str">
        <f t="shared" si="15"/>
        <v>Leistungswert eintragen</v>
      </c>
      <c r="U66" s="16">
        <f t="shared" si="16"/>
        <v>240</v>
      </c>
      <c r="V66" s="16">
        <f t="shared" si="17"/>
        <v>0</v>
      </c>
    </row>
    <row r="67" spans="1:22" ht="15" customHeight="1" x14ac:dyDescent="0.2">
      <c r="A67" s="78">
        <v>46</v>
      </c>
      <c r="B67" s="88">
        <v>218</v>
      </c>
      <c r="C67" s="89" t="s">
        <v>248</v>
      </c>
      <c r="D67" s="89"/>
      <c r="E67" s="89" t="s">
        <v>234</v>
      </c>
      <c r="F67" s="89" t="s">
        <v>229</v>
      </c>
      <c r="G67" s="90">
        <v>16.29</v>
      </c>
      <c r="H67" s="90"/>
      <c r="I67" s="90"/>
      <c r="J67" s="78" t="s">
        <v>309</v>
      </c>
      <c r="K67" s="90">
        <v>1</v>
      </c>
      <c r="L67" s="38">
        <f>VLOOKUP(K67,Reinigungstage!A10:B31,2,FALSE)</f>
        <v>40.71</v>
      </c>
      <c r="M67" s="38">
        <f t="shared" si="9"/>
        <v>663.17</v>
      </c>
      <c r="N67" s="92">
        <f t="shared" si="10"/>
        <v>0</v>
      </c>
      <c r="O67" s="38">
        <f ca="1">IF('SVS UnterhaltsRG'!H61="",0,'SVS UnterhaltsRG'!H61)</f>
        <v>0</v>
      </c>
      <c r="P67" s="38">
        <f t="shared" si="11"/>
        <v>0</v>
      </c>
      <c r="Q67" s="38">
        <f t="shared" ca="1" si="12"/>
        <v>0</v>
      </c>
      <c r="R67" s="38">
        <f t="shared" si="13"/>
        <v>0</v>
      </c>
      <c r="S67" s="38">
        <f t="shared" ca="1" si="14"/>
        <v>0</v>
      </c>
      <c r="T67" s="16" t="str">
        <f t="shared" si="15"/>
        <v>Leistungswert eintragen</v>
      </c>
      <c r="U67" s="16">
        <f t="shared" si="16"/>
        <v>215</v>
      </c>
      <c r="V67" s="16">
        <f t="shared" si="17"/>
        <v>0</v>
      </c>
    </row>
    <row r="68" spans="1:22" ht="15" customHeight="1" x14ac:dyDescent="0.2">
      <c r="A68" s="78">
        <v>47</v>
      </c>
      <c r="B68" s="88">
        <v>219</v>
      </c>
      <c r="C68" s="89" t="s">
        <v>248</v>
      </c>
      <c r="D68" s="89"/>
      <c r="E68" s="89" t="s">
        <v>233</v>
      </c>
      <c r="F68" s="89" t="s">
        <v>229</v>
      </c>
      <c r="G68" s="90">
        <v>67.33</v>
      </c>
      <c r="H68" s="90"/>
      <c r="I68" s="90"/>
      <c r="J68" s="78" t="s">
        <v>308</v>
      </c>
      <c r="K68" s="90">
        <v>3</v>
      </c>
      <c r="L68" s="38">
        <f>VLOOKUP(K68,Reinigungstage!A10:B31,2,FALSE)</f>
        <v>117.6</v>
      </c>
      <c r="M68" s="38">
        <f t="shared" si="9"/>
        <v>7918.01</v>
      </c>
      <c r="N68" s="92">
        <f t="shared" si="10"/>
        <v>0</v>
      </c>
      <c r="O68" s="38">
        <f ca="1">IF('SVS UnterhaltsRG'!H61="",0,'SVS UnterhaltsRG'!H61)</f>
        <v>0</v>
      </c>
      <c r="P68" s="38">
        <f t="shared" si="11"/>
        <v>0</v>
      </c>
      <c r="Q68" s="38">
        <f t="shared" ca="1" si="12"/>
        <v>0</v>
      </c>
      <c r="R68" s="38">
        <f t="shared" si="13"/>
        <v>0</v>
      </c>
      <c r="S68" s="38">
        <f t="shared" ca="1" si="14"/>
        <v>0</v>
      </c>
      <c r="T68" s="16" t="str">
        <f t="shared" si="15"/>
        <v>Leistungswert eintragen</v>
      </c>
      <c r="U68" s="16">
        <f t="shared" si="16"/>
        <v>240</v>
      </c>
      <c r="V68" s="16">
        <f t="shared" si="17"/>
        <v>0</v>
      </c>
    </row>
    <row r="69" spans="1:22" ht="15" customHeight="1" x14ac:dyDescent="0.2">
      <c r="A69" s="78">
        <v>48</v>
      </c>
      <c r="B69" s="88">
        <v>221</v>
      </c>
      <c r="C69" s="89" t="s">
        <v>248</v>
      </c>
      <c r="D69" s="89"/>
      <c r="E69" s="89" t="s">
        <v>235</v>
      </c>
      <c r="F69" s="89" t="s">
        <v>227</v>
      </c>
      <c r="G69" s="90">
        <v>17.440000000000001</v>
      </c>
      <c r="H69" s="90"/>
      <c r="I69" s="90"/>
      <c r="J69" s="78" t="s">
        <v>312</v>
      </c>
      <c r="K69" s="90">
        <v>5</v>
      </c>
      <c r="L69" s="38">
        <f>VLOOKUP(K69,Reinigungstage!A10:B31,2,FALSE)</f>
        <v>196</v>
      </c>
      <c r="M69" s="38">
        <f t="shared" si="9"/>
        <v>3418.24</v>
      </c>
      <c r="N69" s="92">
        <f t="shared" si="10"/>
        <v>0</v>
      </c>
      <c r="O69" s="38">
        <f ca="1">IF('SVS UnterhaltsRG'!H61="",0,'SVS UnterhaltsRG'!H61)</f>
        <v>0</v>
      </c>
      <c r="P69" s="38">
        <f t="shared" si="11"/>
        <v>0</v>
      </c>
      <c r="Q69" s="38">
        <f t="shared" ca="1" si="12"/>
        <v>0</v>
      </c>
      <c r="R69" s="38">
        <f t="shared" si="13"/>
        <v>0</v>
      </c>
      <c r="S69" s="38">
        <f t="shared" ca="1" si="14"/>
        <v>0</v>
      </c>
      <c r="T69" s="16" t="str">
        <f t="shared" si="15"/>
        <v>Leistungswert eintragen</v>
      </c>
      <c r="U69" s="16">
        <f t="shared" si="16"/>
        <v>75</v>
      </c>
      <c r="V69" s="16">
        <f t="shared" si="17"/>
        <v>0</v>
      </c>
    </row>
    <row r="70" spans="1:22" ht="15" customHeight="1" x14ac:dyDescent="0.2">
      <c r="A70" s="78">
        <v>49</v>
      </c>
      <c r="B70" s="88">
        <v>222</v>
      </c>
      <c r="C70" s="89" t="s">
        <v>248</v>
      </c>
      <c r="D70" s="89"/>
      <c r="E70" s="89" t="s">
        <v>236</v>
      </c>
      <c r="F70" s="89" t="s">
        <v>227</v>
      </c>
      <c r="G70" s="90">
        <v>5.33</v>
      </c>
      <c r="H70" s="90"/>
      <c r="I70" s="90"/>
      <c r="J70" s="78" t="s">
        <v>312</v>
      </c>
      <c r="K70" s="90">
        <v>5</v>
      </c>
      <c r="L70" s="38">
        <f>VLOOKUP(K70,Reinigungstage!A10:B31,2,FALSE)</f>
        <v>196</v>
      </c>
      <c r="M70" s="38">
        <f t="shared" si="9"/>
        <v>1044.68</v>
      </c>
      <c r="N70" s="92">
        <f t="shared" si="10"/>
        <v>0</v>
      </c>
      <c r="O70" s="38">
        <f ca="1">IF('SVS UnterhaltsRG'!H61="",0,'SVS UnterhaltsRG'!H61)</f>
        <v>0</v>
      </c>
      <c r="P70" s="38">
        <f t="shared" si="11"/>
        <v>0</v>
      </c>
      <c r="Q70" s="38">
        <f t="shared" ca="1" si="12"/>
        <v>0</v>
      </c>
      <c r="R70" s="38">
        <f t="shared" si="13"/>
        <v>0</v>
      </c>
      <c r="S70" s="38">
        <f t="shared" ca="1" si="14"/>
        <v>0</v>
      </c>
      <c r="T70" s="16" t="str">
        <f t="shared" si="15"/>
        <v>Leistungswert eintragen</v>
      </c>
      <c r="U70" s="16">
        <f t="shared" si="16"/>
        <v>75</v>
      </c>
      <c r="V70" s="16">
        <f t="shared" si="17"/>
        <v>0</v>
      </c>
    </row>
    <row r="71" spans="1:22" ht="15" customHeight="1" x14ac:dyDescent="0.2">
      <c r="A71" s="78">
        <v>50</v>
      </c>
      <c r="B71" s="88">
        <v>223</v>
      </c>
      <c r="C71" s="89" t="s">
        <v>248</v>
      </c>
      <c r="D71" s="89"/>
      <c r="E71" s="89" t="s">
        <v>237</v>
      </c>
      <c r="F71" s="89" t="s">
        <v>227</v>
      </c>
      <c r="G71" s="90">
        <v>16.86</v>
      </c>
      <c r="H71" s="90"/>
      <c r="I71" s="90"/>
      <c r="J71" s="78" t="s">
        <v>312</v>
      </c>
      <c r="K71" s="90">
        <v>5</v>
      </c>
      <c r="L71" s="38">
        <f>VLOOKUP(K71,Reinigungstage!A10:B31,2,FALSE)</f>
        <v>196</v>
      </c>
      <c r="M71" s="38">
        <f t="shared" si="9"/>
        <v>3304.56</v>
      </c>
      <c r="N71" s="92">
        <f t="shared" si="10"/>
        <v>0</v>
      </c>
      <c r="O71" s="38">
        <f ca="1">IF('SVS UnterhaltsRG'!H61="",0,'SVS UnterhaltsRG'!H61)</f>
        <v>0</v>
      </c>
      <c r="P71" s="38">
        <f t="shared" si="11"/>
        <v>0</v>
      </c>
      <c r="Q71" s="38">
        <f t="shared" ca="1" si="12"/>
        <v>0</v>
      </c>
      <c r="R71" s="38">
        <f t="shared" si="13"/>
        <v>0</v>
      </c>
      <c r="S71" s="38">
        <f t="shared" ca="1" si="14"/>
        <v>0</v>
      </c>
      <c r="T71" s="16" t="str">
        <f t="shared" si="15"/>
        <v>Leistungswert eintragen</v>
      </c>
      <c r="U71" s="16">
        <f t="shared" si="16"/>
        <v>75</v>
      </c>
      <c r="V71" s="16">
        <f t="shared" si="17"/>
        <v>0</v>
      </c>
    </row>
    <row r="72" spans="1:22" ht="15" customHeight="1" x14ac:dyDescent="0.2">
      <c r="A72" s="78">
        <v>51</v>
      </c>
      <c r="B72" s="88">
        <v>224</v>
      </c>
      <c r="C72" s="89" t="s">
        <v>248</v>
      </c>
      <c r="D72" s="89"/>
      <c r="E72" s="89" t="s">
        <v>256</v>
      </c>
      <c r="F72" s="89" t="s">
        <v>229</v>
      </c>
      <c r="G72" s="90">
        <v>78.430000000000007</v>
      </c>
      <c r="H72" s="90"/>
      <c r="I72" s="90"/>
      <c r="J72" s="78" t="s">
        <v>314</v>
      </c>
      <c r="K72" s="90">
        <v>1</v>
      </c>
      <c r="L72" s="38">
        <f>VLOOKUP(K72,Reinigungstage!A10:B31,2,FALSE)</f>
        <v>40.71</v>
      </c>
      <c r="M72" s="38">
        <f t="shared" si="9"/>
        <v>3192.89</v>
      </c>
      <c r="N72" s="92">
        <f t="shared" si="10"/>
        <v>0</v>
      </c>
      <c r="O72" s="38">
        <f ca="1">IF('SVS UnterhaltsRG'!H61="",0,'SVS UnterhaltsRG'!H61)</f>
        <v>0</v>
      </c>
      <c r="P72" s="38">
        <f t="shared" si="11"/>
        <v>0</v>
      </c>
      <c r="Q72" s="38">
        <f t="shared" ca="1" si="12"/>
        <v>0</v>
      </c>
      <c r="R72" s="38">
        <f t="shared" si="13"/>
        <v>0</v>
      </c>
      <c r="S72" s="38">
        <f t="shared" ca="1" si="14"/>
        <v>0</v>
      </c>
      <c r="T72" s="16" t="str">
        <f t="shared" si="15"/>
        <v>Leistungswert eintragen</v>
      </c>
      <c r="U72" s="16">
        <f t="shared" si="16"/>
        <v>195</v>
      </c>
      <c r="V72" s="16">
        <f t="shared" si="17"/>
        <v>0</v>
      </c>
    </row>
    <row r="73" spans="1:22" ht="15" customHeight="1" x14ac:dyDescent="0.2">
      <c r="A73" s="78">
        <v>52</v>
      </c>
      <c r="B73" s="88">
        <v>225</v>
      </c>
      <c r="C73" s="89" t="s">
        <v>248</v>
      </c>
      <c r="D73" s="89"/>
      <c r="E73" s="89" t="s">
        <v>257</v>
      </c>
      <c r="F73" s="89" t="s">
        <v>229</v>
      </c>
      <c r="G73" s="90">
        <v>12.78</v>
      </c>
      <c r="H73" s="90"/>
      <c r="I73" s="90"/>
      <c r="J73" s="78" t="s">
        <v>315</v>
      </c>
      <c r="K73" s="90">
        <v>5</v>
      </c>
      <c r="L73" s="38">
        <f>VLOOKUP(K73,Reinigungstage!A10:B31,2,FALSE)</f>
        <v>196</v>
      </c>
      <c r="M73" s="38">
        <f t="shared" si="9"/>
        <v>2504.88</v>
      </c>
      <c r="N73" s="92">
        <f t="shared" si="10"/>
        <v>0</v>
      </c>
      <c r="O73" s="38">
        <f ca="1">IF('SVS UnterhaltsRG'!H61="",0,'SVS UnterhaltsRG'!H61)</f>
        <v>0</v>
      </c>
      <c r="P73" s="38">
        <f t="shared" si="11"/>
        <v>0</v>
      </c>
      <c r="Q73" s="38">
        <f t="shared" ca="1" si="12"/>
        <v>0</v>
      </c>
      <c r="R73" s="38">
        <f t="shared" si="13"/>
        <v>0</v>
      </c>
      <c r="S73" s="38">
        <f t="shared" ca="1" si="14"/>
        <v>0</v>
      </c>
      <c r="T73" s="16" t="str">
        <f t="shared" si="15"/>
        <v>Leistungswert eintragen</v>
      </c>
      <c r="U73" s="16">
        <f t="shared" si="16"/>
        <v>115</v>
      </c>
      <c r="V73" s="16">
        <f t="shared" si="17"/>
        <v>0</v>
      </c>
    </row>
    <row r="74" spans="1:22" ht="15" customHeight="1" x14ac:dyDescent="0.2">
      <c r="A74" s="78">
        <v>53</v>
      </c>
      <c r="B74" s="88">
        <v>226</v>
      </c>
      <c r="C74" s="89" t="s">
        <v>248</v>
      </c>
      <c r="D74" s="89"/>
      <c r="E74" s="89" t="s">
        <v>258</v>
      </c>
      <c r="F74" s="89" t="s">
        <v>229</v>
      </c>
      <c r="G74" s="90">
        <v>10.58</v>
      </c>
      <c r="H74" s="90"/>
      <c r="I74" s="90"/>
      <c r="J74" s="78" t="s">
        <v>309</v>
      </c>
      <c r="K74" s="90">
        <v>1</v>
      </c>
      <c r="L74" s="38">
        <f>VLOOKUP(K74,Reinigungstage!A10:B31,2,FALSE)</f>
        <v>40.71</v>
      </c>
      <c r="M74" s="38">
        <f t="shared" si="9"/>
        <v>430.71</v>
      </c>
      <c r="N74" s="92">
        <f t="shared" si="10"/>
        <v>0</v>
      </c>
      <c r="O74" s="38">
        <f ca="1">IF('SVS UnterhaltsRG'!H61="",0,'SVS UnterhaltsRG'!H61)</f>
        <v>0</v>
      </c>
      <c r="P74" s="38">
        <f t="shared" si="11"/>
        <v>0</v>
      </c>
      <c r="Q74" s="38">
        <f t="shared" ca="1" si="12"/>
        <v>0</v>
      </c>
      <c r="R74" s="38">
        <f t="shared" si="13"/>
        <v>0</v>
      </c>
      <c r="S74" s="38">
        <f t="shared" ca="1" si="14"/>
        <v>0</v>
      </c>
      <c r="T74" s="16" t="str">
        <f t="shared" si="15"/>
        <v>Leistungswert eintragen</v>
      </c>
      <c r="U74" s="16">
        <f t="shared" si="16"/>
        <v>215</v>
      </c>
      <c r="V74" s="16">
        <f t="shared" si="17"/>
        <v>0</v>
      </c>
    </row>
    <row r="75" spans="1:22" ht="15" customHeight="1" x14ac:dyDescent="0.2">
      <c r="A75" s="78">
        <v>54</v>
      </c>
      <c r="B75" s="88">
        <v>231</v>
      </c>
      <c r="C75" s="89" t="s">
        <v>248</v>
      </c>
      <c r="D75" s="89"/>
      <c r="E75" s="89" t="s">
        <v>259</v>
      </c>
      <c r="F75" s="89" t="s">
        <v>229</v>
      </c>
      <c r="G75" s="90">
        <v>68.349999999999994</v>
      </c>
      <c r="H75" s="90"/>
      <c r="I75" s="90"/>
      <c r="J75" s="78" t="s">
        <v>308</v>
      </c>
      <c r="K75" s="90">
        <v>3</v>
      </c>
      <c r="L75" s="38">
        <f>VLOOKUP(K75,Reinigungstage!A10:B31,2,FALSE)</f>
        <v>117.6</v>
      </c>
      <c r="M75" s="38">
        <f t="shared" si="9"/>
        <v>8037.96</v>
      </c>
      <c r="N75" s="92">
        <f t="shared" si="10"/>
        <v>0</v>
      </c>
      <c r="O75" s="38">
        <f ca="1">IF('SVS UnterhaltsRG'!H61="",0,'SVS UnterhaltsRG'!H61)</f>
        <v>0</v>
      </c>
      <c r="P75" s="38">
        <f t="shared" si="11"/>
        <v>0</v>
      </c>
      <c r="Q75" s="38">
        <f t="shared" ca="1" si="12"/>
        <v>0</v>
      </c>
      <c r="R75" s="38">
        <f t="shared" si="13"/>
        <v>0</v>
      </c>
      <c r="S75" s="38">
        <f t="shared" ca="1" si="14"/>
        <v>0</v>
      </c>
      <c r="T75" s="16" t="str">
        <f t="shared" si="15"/>
        <v>Leistungswert eintragen</v>
      </c>
      <c r="U75" s="16">
        <f t="shared" si="16"/>
        <v>240</v>
      </c>
      <c r="V75" s="16">
        <f t="shared" si="17"/>
        <v>0</v>
      </c>
    </row>
    <row r="76" spans="1:22" ht="15" customHeight="1" x14ac:dyDescent="0.2">
      <c r="A76" s="78">
        <v>55</v>
      </c>
      <c r="B76" s="88">
        <v>232</v>
      </c>
      <c r="C76" s="89" t="s">
        <v>248</v>
      </c>
      <c r="D76" s="89"/>
      <c r="E76" s="89" t="s">
        <v>260</v>
      </c>
      <c r="F76" s="89" t="s">
        <v>229</v>
      </c>
      <c r="G76" s="90">
        <v>28.3</v>
      </c>
      <c r="H76" s="90"/>
      <c r="I76" s="90"/>
      <c r="J76" s="78" t="s">
        <v>309</v>
      </c>
      <c r="K76" s="90">
        <v>1</v>
      </c>
      <c r="L76" s="38">
        <f>VLOOKUP(K76,Reinigungstage!A10:B31,2,FALSE)</f>
        <v>40.71</v>
      </c>
      <c r="M76" s="38">
        <f t="shared" si="9"/>
        <v>1152.0899999999999</v>
      </c>
      <c r="N76" s="92">
        <f t="shared" si="10"/>
        <v>0</v>
      </c>
      <c r="O76" s="38">
        <f ca="1">IF('SVS UnterhaltsRG'!H61="",0,'SVS UnterhaltsRG'!H61)</f>
        <v>0</v>
      </c>
      <c r="P76" s="38">
        <f t="shared" si="11"/>
        <v>0</v>
      </c>
      <c r="Q76" s="38">
        <f t="shared" ca="1" si="12"/>
        <v>0</v>
      </c>
      <c r="R76" s="38">
        <f t="shared" si="13"/>
        <v>0</v>
      </c>
      <c r="S76" s="38">
        <f t="shared" ca="1" si="14"/>
        <v>0</v>
      </c>
      <c r="T76" s="16" t="str">
        <f t="shared" si="15"/>
        <v>Leistungswert eintragen</v>
      </c>
      <c r="U76" s="16">
        <f t="shared" si="16"/>
        <v>215</v>
      </c>
      <c r="V76" s="16">
        <f t="shared" si="17"/>
        <v>0</v>
      </c>
    </row>
    <row r="77" spans="1:22" ht="15" customHeight="1" x14ac:dyDescent="0.2">
      <c r="A77" s="78">
        <v>56</v>
      </c>
      <c r="B77" s="88">
        <v>233</v>
      </c>
      <c r="C77" s="89" t="s">
        <v>248</v>
      </c>
      <c r="D77" s="89"/>
      <c r="E77" s="89" t="s">
        <v>261</v>
      </c>
      <c r="F77" s="89" t="s">
        <v>229</v>
      </c>
      <c r="G77" s="90">
        <v>28.31</v>
      </c>
      <c r="H77" s="90"/>
      <c r="I77" s="90"/>
      <c r="J77" s="78" t="s">
        <v>309</v>
      </c>
      <c r="K77" s="90">
        <v>1</v>
      </c>
      <c r="L77" s="38">
        <f>VLOOKUP(K77,Reinigungstage!A10:B31,2,FALSE)</f>
        <v>40.71</v>
      </c>
      <c r="M77" s="38">
        <f t="shared" si="9"/>
        <v>1152.5</v>
      </c>
      <c r="N77" s="92">
        <f t="shared" si="10"/>
        <v>0</v>
      </c>
      <c r="O77" s="38">
        <f ca="1">IF('SVS UnterhaltsRG'!H61="",0,'SVS UnterhaltsRG'!H61)</f>
        <v>0</v>
      </c>
      <c r="P77" s="38">
        <f t="shared" si="11"/>
        <v>0</v>
      </c>
      <c r="Q77" s="38">
        <f t="shared" ca="1" si="12"/>
        <v>0</v>
      </c>
      <c r="R77" s="38">
        <f t="shared" si="13"/>
        <v>0</v>
      </c>
      <c r="S77" s="38">
        <f t="shared" ca="1" si="14"/>
        <v>0</v>
      </c>
      <c r="T77" s="16" t="str">
        <f t="shared" si="15"/>
        <v>Leistungswert eintragen</v>
      </c>
      <c r="U77" s="16">
        <f t="shared" si="16"/>
        <v>215</v>
      </c>
      <c r="V77" s="16">
        <f t="shared" si="17"/>
        <v>0</v>
      </c>
    </row>
    <row r="78" spans="1:22" ht="15" customHeight="1" x14ac:dyDescent="0.2">
      <c r="A78" s="78">
        <v>57</v>
      </c>
      <c r="B78" s="88">
        <v>234</v>
      </c>
      <c r="C78" s="89" t="s">
        <v>248</v>
      </c>
      <c r="D78" s="89"/>
      <c r="E78" s="89" t="s">
        <v>262</v>
      </c>
      <c r="F78" s="89" t="s">
        <v>229</v>
      </c>
      <c r="G78" s="90">
        <v>68.349999999999994</v>
      </c>
      <c r="H78" s="90"/>
      <c r="I78" s="90"/>
      <c r="J78" s="78" t="s">
        <v>308</v>
      </c>
      <c r="K78" s="90">
        <v>3</v>
      </c>
      <c r="L78" s="38">
        <f>VLOOKUP(K78,Reinigungstage!A10:B31,2,FALSE)</f>
        <v>117.6</v>
      </c>
      <c r="M78" s="38">
        <f t="shared" si="9"/>
        <v>8037.96</v>
      </c>
      <c r="N78" s="92">
        <f t="shared" si="10"/>
        <v>0</v>
      </c>
      <c r="O78" s="38">
        <f ca="1">IF('SVS UnterhaltsRG'!H61="",0,'SVS UnterhaltsRG'!H61)</f>
        <v>0</v>
      </c>
      <c r="P78" s="38">
        <f t="shared" si="11"/>
        <v>0</v>
      </c>
      <c r="Q78" s="38">
        <f t="shared" ca="1" si="12"/>
        <v>0</v>
      </c>
      <c r="R78" s="38">
        <f t="shared" si="13"/>
        <v>0</v>
      </c>
      <c r="S78" s="38">
        <f t="shared" ca="1" si="14"/>
        <v>0</v>
      </c>
      <c r="T78" s="16" t="str">
        <f t="shared" si="15"/>
        <v>Leistungswert eintragen</v>
      </c>
      <c r="U78" s="16">
        <f t="shared" si="16"/>
        <v>240</v>
      </c>
      <c r="V78" s="16">
        <f t="shared" si="17"/>
        <v>0</v>
      </c>
    </row>
    <row r="79" spans="1:22" ht="15" customHeight="1" x14ac:dyDescent="0.2">
      <c r="A79" s="78">
        <v>58</v>
      </c>
      <c r="B79" s="88">
        <v>235</v>
      </c>
      <c r="C79" s="89" t="s">
        <v>248</v>
      </c>
      <c r="D79" s="89"/>
      <c r="E79" s="89" t="s">
        <v>263</v>
      </c>
      <c r="F79" s="89" t="s">
        <v>229</v>
      </c>
      <c r="G79" s="90">
        <v>29.78</v>
      </c>
      <c r="H79" s="90"/>
      <c r="I79" s="90"/>
      <c r="J79" s="78" t="s">
        <v>309</v>
      </c>
      <c r="K79" s="90">
        <v>1</v>
      </c>
      <c r="L79" s="38">
        <f>VLOOKUP(K79,Reinigungstage!A10:B31,2,FALSE)</f>
        <v>40.71</v>
      </c>
      <c r="M79" s="38">
        <f t="shared" si="9"/>
        <v>1212.3399999999999</v>
      </c>
      <c r="N79" s="92">
        <f t="shared" si="10"/>
        <v>0</v>
      </c>
      <c r="O79" s="38">
        <f ca="1">IF('SVS UnterhaltsRG'!H61="",0,'SVS UnterhaltsRG'!H61)</f>
        <v>0</v>
      </c>
      <c r="P79" s="38">
        <f t="shared" si="11"/>
        <v>0</v>
      </c>
      <c r="Q79" s="38">
        <f t="shared" ca="1" si="12"/>
        <v>0</v>
      </c>
      <c r="R79" s="38">
        <f t="shared" si="13"/>
        <v>0</v>
      </c>
      <c r="S79" s="38">
        <f t="shared" ca="1" si="14"/>
        <v>0</v>
      </c>
      <c r="T79" s="16" t="str">
        <f t="shared" si="15"/>
        <v>Leistungswert eintragen</v>
      </c>
      <c r="U79" s="16">
        <f t="shared" si="16"/>
        <v>215</v>
      </c>
      <c r="V79" s="16">
        <f t="shared" si="17"/>
        <v>0</v>
      </c>
    </row>
    <row r="80" spans="1:22" ht="15" customHeight="1" x14ac:dyDescent="0.2">
      <c r="A80" s="78">
        <v>59</v>
      </c>
      <c r="B80" s="88">
        <v>236</v>
      </c>
      <c r="C80" s="89" t="s">
        <v>248</v>
      </c>
      <c r="D80" s="89"/>
      <c r="E80" s="89" t="s">
        <v>264</v>
      </c>
      <c r="F80" s="89" t="s">
        <v>229</v>
      </c>
      <c r="G80" s="90">
        <v>66.61</v>
      </c>
      <c r="H80" s="90"/>
      <c r="I80" s="90"/>
      <c r="J80" s="78" t="s">
        <v>308</v>
      </c>
      <c r="K80" s="90">
        <v>3</v>
      </c>
      <c r="L80" s="38">
        <f>VLOOKUP(K80,Reinigungstage!A10:B31,2,FALSE)</f>
        <v>117.6</v>
      </c>
      <c r="M80" s="38">
        <f t="shared" si="9"/>
        <v>7833.34</v>
      </c>
      <c r="N80" s="92">
        <f t="shared" si="10"/>
        <v>0</v>
      </c>
      <c r="O80" s="38">
        <f ca="1">IF('SVS UnterhaltsRG'!H61="",0,'SVS UnterhaltsRG'!H61)</f>
        <v>0</v>
      </c>
      <c r="P80" s="38">
        <f t="shared" si="11"/>
        <v>0</v>
      </c>
      <c r="Q80" s="38">
        <f t="shared" ca="1" si="12"/>
        <v>0</v>
      </c>
      <c r="R80" s="38">
        <f t="shared" si="13"/>
        <v>0</v>
      </c>
      <c r="S80" s="38">
        <f t="shared" ca="1" si="14"/>
        <v>0</v>
      </c>
      <c r="T80" s="16" t="str">
        <f t="shared" si="15"/>
        <v>Leistungswert eintragen</v>
      </c>
      <c r="U80" s="16">
        <f t="shared" si="16"/>
        <v>240</v>
      </c>
      <c r="V80" s="16">
        <f t="shared" si="17"/>
        <v>0</v>
      </c>
    </row>
    <row r="81" spans="1:22" ht="21" x14ac:dyDescent="0.2">
      <c r="A81" s="78">
        <v>60</v>
      </c>
      <c r="B81" s="88">
        <v>241</v>
      </c>
      <c r="C81" s="89" t="s">
        <v>248</v>
      </c>
      <c r="D81" s="89"/>
      <c r="E81" s="89" t="s">
        <v>265</v>
      </c>
      <c r="F81" s="89" t="s">
        <v>229</v>
      </c>
      <c r="G81" s="90">
        <v>7.08</v>
      </c>
      <c r="H81" s="90"/>
      <c r="I81" s="90"/>
      <c r="J81" s="78" t="s">
        <v>313</v>
      </c>
      <c r="K81" s="90">
        <v>5</v>
      </c>
      <c r="L81" s="38">
        <f>VLOOKUP(K81,Reinigungstage!A10:B31,2,FALSE)</f>
        <v>196</v>
      </c>
      <c r="M81" s="38">
        <f t="shared" si="9"/>
        <v>1387.68</v>
      </c>
      <c r="N81" s="92">
        <f t="shared" si="10"/>
        <v>0</v>
      </c>
      <c r="O81" s="38">
        <f ca="1">IF('SVS UnterhaltsRG'!H61="",0,'SVS UnterhaltsRG'!H61)</f>
        <v>0</v>
      </c>
      <c r="P81" s="38">
        <f t="shared" si="11"/>
        <v>0</v>
      </c>
      <c r="Q81" s="38">
        <f t="shared" ca="1" si="12"/>
        <v>0</v>
      </c>
      <c r="R81" s="38">
        <f t="shared" si="13"/>
        <v>0</v>
      </c>
      <c r="S81" s="38">
        <f t="shared" ca="1" si="14"/>
        <v>0</v>
      </c>
      <c r="T81" s="16" t="str">
        <f t="shared" si="15"/>
        <v>Leistungswert eintragen</v>
      </c>
      <c r="U81" s="16">
        <f t="shared" si="16"/>
        <v>450</v>
      </c>
      <c r="V81" s="16">
        <f t="shared" si="17"/>
        <v>0</v>
      </c>
    </row>
    <row r="82" spans="1:22" ht="15" customHeight="1" x14ac:dyDescent="0.2">
      <c r="A82" s="78">
        <v>61</v>
      </c>
      <c r="B82" s="88">
        <v>242</v>
      </c>
      <c r="C82" s="89" t="s">
        <v>248</v>
      </c>
      <c r="D82" s="89"/>
      <c r="E82" s="89" t="s">
        <v>266</v>
      </c>
      <c r="F82" s="89" t="s">
        <v>229</v>
      </c>
      <c r="G82" s="90">
        <v>52.55</v>
      </c>
      <c r="H82" s="90"/>
      <c r="I82" s="90"/>
      <c r="J82" s="78" t="s">
        <v>310</v>
      </c>
      <c r="K82" s="78" t="s">
        <v>159</v>
      </c>
      <c r="L82" s="38">
        <f>VLOOKUP(K82,Reinigungstage!A10:B31,2,FALSE)</f>
        <v>2</v>
      </c>
      <c r="M82" s="38">
        <f t="shared" si="9"/>
        <v>105.1</v>
      </c>
      <c r="N82" s="92">
        <f t="shared" si="10"/>
        <v>0</v>
      </c>
      <c r="O82" s="38">
        <f ca="1">IF('SVS UnterhaltsRG'!H61="",0,'SVS UnterhaltsRG'!H61)</f>
        <v>0</v>
      </c>
      <c r="P82" s="38">
        <f t="shared" si="11"/>
        <v>0</v>
      </c>
      <c r="Q82" s="38">
        <f t="shared" ca="1" si="12"/>
        <v>0</v>
      </c>
      <c r="R82" s="38">
        <f t="shared" si="13"/>
        <v>0</v>
      </c>
      <c r="S82" s="38">
        <f t="shared" ca="1" si="14"/>
        <v>0</v>
      </c>
      <c r="T82" s="16" t="str">
        <f t="shared" si="15"/>
        <v>Leistungswert eintragen</v>
      </c>
      <c r="U82" s="16">
        <f t="shared" si="16"/>
        <v>300</v>
      </c>
      <c r="V82" s="16">
        <f t="shared" si="17"/>
        <v>0</v>
      </c>
    </row>
    <row r="83" spans="1:22" ht="15" customHeight="1" x14ac:dyDescent="0.2">
      <c r="A83" s="78">
        <v>62</v>
      </c>
      <c r="B83" s="88">
        <v>243</v>
      </c>
      <c r="C83" s="89" t="s">
        <v>248</v>
      </c>
      <c r="D83" s="89"/>
      <c r="E83" s="89" t="s">
        <v>267</v>
      </c>
      <c r="F83" s="89" t="s">
        <v>244</v>
      </c>
      <c r="G83" s="90">
        <v>30.34</v>
      </c>
      <c r="H83" s="90"/>
      <c r="I83" s="90"/>
      <c r="J83" s="78" t="s">
        <v>310</v>
      </c>
      <c r="K83" s="90">
        <v>0</v>
      </c>
      <c r="L83" s="38">
        <f>VLOOKUP(K83,Reinigungstage!A10:B31,2,FALSE)</f>
        <v>0</v>
      </c>
      <c r="M83" s="38">
        <f t="shared" si="9"/>
        <v>0</v>
      </c>
      <c r="N83" s="92">
        <f t="shared" si="10"/>
        <v>0</v>
      </c>
      <c r="O83" s="38">
        <f ca="1">IF('SVS UnterhaltsRG'!H61="",0,'SVS UnterhaltsRG'!H61)</f>
        <v>0</v>
      </c>
      <c r="P83" s="38">
        <f t="shared" si="11"/>
        <v>0</v>
      </c>
      <c r="Q83" s="38">
        <f t="shared" si="12"/>
        <v>0</v>
      </c>
      <c r="R83" s="38">
        <f t="shared" si="13"/>
        <v>0</v>
      </c>
      <c r="S83" s="38">
        <f t="shared" si="14"/>
        <v>0</v>
      </c>
      <c r="T83" s="16" t="str">
        <f t="shared" si="15"/>
        <v/>
      </c>
      <c r="U83" s="16">
        <f t="shared" si="16"/>
        <v>300</v>
      </c>
      <c r="V83" s="16">
        <f t="shared" si="17"/>
        <v>0</v>
      </c>
    </row>
    <row r="84" spans="1:22" ht="15" customHeight="1" x14ac:dyDescent="0.2">
      <c r="A84" s="78">
        <v>63</v>
      </c>
      <c r="B84" s="88">
        <v>244</v>
      </c>
      <c r="C84" s="89" t="s">
        <v>248</v>
      </c>
      <c r="D84" s="89"/>
      <c r="E84" s="89" t="s">
        <v>268</v>
      </c>
      <c r="F84" s="89" t="s">
        <v>244</v>
      </c>
      <c r="G84" s="90">
        <v>12.87</v>
      </c>
      <c r="H84" s="90"/>
      <c r="I84" s="90"/>
      <c r="J84" s="78" t="s">
        <v>310</v>
      </c>
      <c r="K84" s="90">
        <v>0</v>
      </c>
      <c r="L84" s="38">
        <f>VLOOKUP(K84,Reinigungstage!A10:B31,2,FALSE)</f>
        <v>0</v>
      </c>
      <c r="M84" s="38">
        <f t="shared" si="9"/>
        <v>0</v>
      </c>
      <c r="N84" s="92">
        <f t="shared" si="10"/>
        <v>0</v>
      </c>
      <c r="O84" s="38">
        <f ca="1">IF('SVS UnterhaltsRG'!H61="",0,'SVS UnterhaltsRG'!H61)</f>
        <v>0</v>
      </c>
      <c r="P84" s="38">
        <f t="shared" si="11"/>
        <v>0</v>
      </c>
      <c r="Q84" s="38">
        <f t="shared" si="12"/>
        <v>0</v>
      </c>
      <c r="R84" s="38">
        <f t="shared" si="13"/>
        <v>0</v>
      </c>
      <c r="S84" s="38">
        <f t="shared" si="14"/>
        <v>0</v>
      </c>
      <c r="T84" s="16" t="str">
        <f t="shared" si="15"/>
        <v/>
      </c>
      <c r="U84" s="16">
        <f t="shared" si="16"/>
        <v>300</v>
      </c>
      <c r="V84" s="16">
        <f t="shared" si="17"/>
        <v>0</v>
      </c>
    </row>
    <row r="85" spans="1:22" ht="15" customHeight="1" x14ac:dyDescent="0.2">
      <c r="A85" s="78">
        <v>64</v>
      </c>
      <c r="B85" s="88">
        <v>245</v>
      </c>
      <c r="C85" s="89" t="s">
        <v>248</v>
      </c>
      <c r="D85" s="89"/>
      <c r="E85" s="89" t="s">
        <v>268</v>
      </c>
      <c r="F85" s="89" t="s">
        <v>244</v>
      </c>
      <c r="G85" s="90">
        <v>10.98</v>
      </c>
      <c r="H85" s="90"/>
      <c r="I85" s="90"/>
      <c r="J85" s="78" t="s">
        <v>310</v>
      </c>
      <c r="K85" s="90">
        <v>0</v>
      </c>
      <c r="L85" s="38">
        <f>VLOOKUP(K85,Reinigungstage!A10:B31,2,FALSE)</f>
        <v>0</v>
      </c>
      <c r="M85" s="38">
        <f t="shared" si="9"/>
        <v>0</v>
      </c>
      <c r="N85" s="92">
        <f t="shared" si="10"/>
        <v>0</v>
      </c>
      <c r="O85" s="38">
        <f ca="1">IF('SVS UnterhaltsRG'!H61="",0,'SVS UnterhaltsRG'!H61)</f>
        <v>0</v>
      </c>
      <c r="P85" s="38">
        <f t="shared" si="11"/>
        <v>0</v>
      </c>
      <c r="Q85" s="38">
        <f t="shared" si="12"/>
        <v>0</v>
      </c>
      <c r="R85" s="38">
        <f t="shared" si="13"/>
        <v>0</v>
      </c>
      <c r="S85" s="38">
        <f t="shared" si="14"/>
        <v>0</v>
      </c>
      <c r="T85" s="16" t="str">
        <f t="shared" si="15"/>
        <v/>
      </c>
      <c r="U85" s="16">
        <f t="shared" si="16"/>
        <v>300</v>
      </c>
      <c r="V85" s="16">
        <f t="shared" si="17"/>
        <v>0</v>
      </c>
    </row>
    <row r="86" spans="1:22" ht="15" customHeight="1" x14ac:dyDescent="0.2">
      <c r="A86" s="78">
        <v>65</v>
      </c>
      <c r="B86" s="88">
        <v>246</v>
      </c>
      <c r="C86" s="89" t="s">
        <v>248</v>
      </c>
      <c r="D86" s="89"/>
      <c r="E86" s="89" t="s">
        <v>269</v>
      </c>
      <c r="F86" s="89" t="s">
        <v>244</v>
      </c>
      <c r="G86" s="90">
        <v>3.15</v>
      </c>
      <c r="H86" s="90"/>
      <c r="I86" s="90"/>
      <c r="J86" s="78" t="s">
        <v>310</v>
      </c>
      <c r="K86" s="90">
        <v>0</v>
      </c>
      <c r="L86" s="38">
        <f>VLOOKUP(K86,Reinigungstage!A10:B31,2,FALSE)</f>
        <v>0</v>
      </c>
      <c r="M86" s="38">
        <f t="shared" ref="M86:M117" si="18">ROUND(IF(L86=0,0,L86*G86),2)</f>
        <v>0</v>
      </c>
      <c r="N86" s="92">
        <f t="shared" ref="N86:N117" si="19">VLOOKUP(J86,$G$4:$H$14,2,FALSE)</f>
        <v>0</v>
      </c>
      <c r="O86" s="38">
        <f ca="1">IF('SVS UnterhaltsRG'!H61="",0,'SVS UnterhaltsRG'!H61)</f>
        <v>0</v>
      </c>
      <c r="P86" s="38">
        <f t="shared" ref="P86:P117" si="20">ROUND(IF(N86=0,0,M86/N86),2)</f>
        <v>0</v>
      </c>
      <c r="Q86" s="38">
        <f t="shared" ref="Q86:Q117" si="21">IF(M86=0,0,IF(O86="",0,ROUND(P86*O86,2)))</f>
        <v>0</v>
      </c>
      <c r="R86" s="38">
        <f t="shared" ref="R86:R117" si="22">ROUND(IF(P86=0,0,P86/L86),2)</f>
        <v>0</v>
      </c>
      <c r="S86" s="38">
        <f t="shared" ref="S86:S117" si="23">ROUND(IF(Q86=0,0,Q86/L86),2)</f>
        <v>0</v>
      </c>
      <c r="T86" s="16" t="str">
        <f t="shared" ref="T86:T117" si="24">IF(M86=0,"",IF(N86=0,"Leistungswert eintragen",IF(O86=0,"SVS prüfen","")))</f>
        <v/>
      </c>
      <c r="U86" s="16">
        <f t="shared" ref="U86:U117" si="25">VLOOKUP(J86,$U$4:$V$14,2,FALSE)</f>
        <v>300</v>
      </c>
      <c r="V86" s="16">
        <f t="shared" ref="V86:V117" si="26">IF(M86=0,0,IF(U86&lt;N86,1,IF(U86&gt;=N86,0,"")))</f>
        <v>0</v>
      </c>
    </row>
    <row r="87" spans="1:22" ht="15" customHeight="1" x14ac:dyDescent="0.2">
      <c r="A87" s="78">
        <v>66</v>
      </c>
      <c r="B87" s="88">
        <v>247</v>
      </c>
      <c r="C87" s="89" t="s">
        <v>248</v>
      </c>
      <c r="D87" s="89"/>
      <c r="E87" s="89" t="s">
        <v>270</v>
      </c>
      <c r="F87" s="89" t="s">
        <v>244</v>
      </c>
      <c r="G87" s="90">
        <v>3.23</v>
      </c>
      <c r="H87" s="90"/>
      <c r="I87" s="90"/>
      <c r="J87" s="78" t="s">
        <v>310</v>
      </c>
      <c r="K87" s="90">
        <v>0</v>
      </c>
      <c r="L87" s="38">
        <f>VLOOKUP(K87,Reinigungstage!A10:B31,2,FALSE)</f>
        <v>0</v>
      </c>
      <c r="M87" s="38">
        <f t="shared" si="18"/>
        <v>0</v>
      </c>
      <c r="N87" s="92">
        <f t="shared" si="19"/>
        <v>0</v>
      </c>
      <c r="O87" s="38">
        <f ca="1">IF('SVS UnterhaltsRG'!H61="",0,'SVS UnterhaltsRG'!H61)</f>
        <v>0</v>
      </c>
      <c r="P87" s="38">
        <f t="shared" si="20"/>
        <v>0</v>
      </c>
      <c r="Q87" s="38">
        <f t="shared" si="21"/>
        <v>0</v>
      </c>
      <c r="R87" s="38">
        <f t="shared" si="22"/>
        <v>0</v>
      </c>
      <c r="S87" s="38">
        <f t="shared" si="23"/>
        <v>0</v>
      </c>
      <c r="T87" s="16" t="str">
        <f t="shared" si="24"/>
        <v/>
      </c>
      <c r="U87" s="16">
        <f t="shared" si="25"/>
        <v>300</v>
      </c>
      <c r="V87" s="16">
        <f t="shared" si="26"/>
        <v>0</v>
      </c>
    </row>
    <row r="88" spans="1:22" ht="15" customHeight="1" x14ac:dyDescent="0.2">
      <c r="A88" s="78">
        <v>67</v>
      </c>
      <c r="B88" s="88">
        <v>251</v>
      </c>
      <c r="C88" s="89" t="s">
        <v>248</v>
      </c>
      <c r="D88" s="89"/>
      <c r="E88" s="89" t="s">
        <v>232</v>
      </c>
      <c r="F88" s="89" t="s">
        <v>229</v>
      </c>
      <c r="G88" s="90">
        <v>42.27</v>
      </c>
      <c r="H88" s="90"/>
      <c r="I88" s="90"/>
      <c r="J88" s="78" t="s">
        <v>311</v>
      </c>
      <c r="K88" s="90">
        <v>3</v>
      </c>
      <c r="L88" s="38">
        <f>VLOOKUP(K88,Reinigungstage!A10:B31,2,FALSE)</f>
        <v>117.6</v>
      </c>
      <c r="M88" s="38">
        <f t="shared" si="18"/>
        <v>4970.95</v>
      </c>
      <c r="N88" s="92">
        <f t="shared" si="19"/>
        <v>0</v>
      </c>
      <c r="O88" s="38">
        <f ca="1">IF('SVS UnterhaltsRG'!H61="",0,'SVS UnterhaltsRG'!H61)</f>
        <v>0</v>
      </c>
      <c r="P88" s="38">
        <f t="shared" si="20"/>
        <v>0</v>
      </c>
      <c r="Q88" s="38">
        <f t="shared" ca="1" si="21"/>
        <v>0</v>
      </c>
      <c r="R88" s="38">
        <f t="shared" si="22"/>
        <v>0</v>
      </c>
      <c r="S88" s="38">
        <f t="shared" ca="1" si="23"/>
        <v>0</v>
      </c>
      <c r="T88" s="16" t="str">
        <f t="shared" si="24"/>
        <v>Leistungswert eintragen</v>
      </c>
      <c r="U88" s="16">
        <f t="shared" si="25"/>
        <v>170</v>
      </c>
      <c r="V88" s="16">
        <f t="shared" si="26"/>
        <v>0</v>
      </c>
    </row>
    <row r="89" spans="1:22" ht="15" customHeight="1" x14ac:dyDescent="0.2">
      <c r="A89" s="78">
        <v>68</v>
      </c>
      <c r="B89" s="88">
        <v>252</v>
      </c>
      <c r="C89" s="89" t="s">
        <v>248</v>
      </c>
      <c r="D89" s="89"/>
      <c r="E89" s="89" t="s">
        <v>232</v>
      </c>
      <c r="F89" s="89" t="s">
        <v>229</v>
      </c>
      <c r="G89" s="90">
        <v>32.19</v>
      </c>
      <c r="H89" s="90"/>
      <c r="I89" s="90"/>
      <c r="J89" s="78" t="s">
        <v>311</v>
      </c>
      <c r="K89" s="90">
        <v>3</v>
      </c>
      <c r="L89" s="38">
        <f>VLOOKUP(K89,Reinigungstage!A10:B31,2,FALSE)</f>
        <v>117.6</v>
      </c>
      <c r="M89" s="38">
        <f t="shared" si="18"/>
        <v>3785.54</v>
      </c>
      <c r="N89" s="92">
        <f t="shared" si="19"/>
        <v>0</v>
      </c>
      <c r="O89" s="38">
        <f ca="1">IF('SVS UnterhaltsRG'!H61="",0,'SVS UnterhaltsRG'!H61)</f>
        <v>0</v>
      </c>
      <c r="P89" s="38">
        <f t="shared" si="20"/>
        <v>0</v>
      </c>
      <c r="Q89" s="38">
        <f t="shared" ca="1" si="21"/>
        <v>0</v>
      </c>
      <c r="R89" s="38">
        <f t="shared" si="22"/>
        <v>0</v>
      </c>
      <c r="S89" s="38">
        <f t="shared" ca="1" si="23"/>
        <v>0</v>
      </c>
      <c r="T89" s="16" t="str">
        <f t="shared" si="24"/>
        <v>Leistungswert eintragen</v>
      </c>
      <c r="U89" s="16">
        <f t="shared" si="25"/>
        <v>170</v>
      </c>
      <c r="V89" s="16">
        <f t="shared" si="26"/>
        <v>0</v>
      </c>
    </row>
    <row r="90" spans="1:22" ht="15" customHeight="1" x14ac:dyDescent="0.2">
      <c r="A90" s="78">
        <v>69</v>
      </c>
      <c r="B90" s="88">
        <v>253</v>
      </c>
      <c r="C90" s="89" t="s">
        <v>248</v>
      </c>
      <c r="D90" s="89"/>
      <c r="E90" s="89" t="s">
        <v>271</v>
      </c>
      <c r="F90" s="89" t="s">
        <v>229</v>
      </c>
      <c r="G90" s="90">
        <v>32.19</v>
      </c>
      <c r="H90" s="90"/>
      <c r="I90" s="90"/>
      <c r="J90" s="78" t="s">
        <v>309</v>
      </c>
      <c r="K90" s="90">
        <v>1</v>
      </c>
      <c r="L90" s="38">
        <f>VLOOKUP(K90,Reinigungstage!A10:B31,2,FALSE)</f>
        <v>40.71</v>
      </c>
      <c r="M90" s="38">
        <f t="shared" si="18"/>
        <v>1310.45</v>
      </c>
      <c r="N90" s="92">
        <f t="shared" si="19"/>
        <v>0</v>
      </c>
      <c r="O90" s="38">
        <f ca="1">IF('SVS UnterhaltsRG'!H61="",0,'SVS UnterhaltsRG'!H61)</f>
        <v>0</v>
      </c>
      <c r="P90" s="38">
        <f t="shared" si="20"/>
        <v>0</v>
      </c>
      <c r="Q90" s="38">
        <f t="shared" ca="1" si="21"/>
        <v>0</v>
      </c>
      <c r="R90" s="38">
        <f t="shared" si="22"/>
        <v>0</v>
      </c>
      <c r="S90" s="38">
        <f t="shared" ca="1" si="23"/>
        <v>0</v>
      </c>
      <c r="T90" s="16" t="str">
        <f t="shared" si="24"/>
        <v>Leistungswert eintragen</v>
      </c>
      <c r="U90" s="16">
        <f t="shared" si="25"/>
        <v>215</v>
      </c>
      <c r="V90" s="16">
        <f t="shared" si="26"/>
        <v>0</v>
      </c>
    </row>
    <row r="91" spans="1:22" ht="15" customHeight="1" x14ac:dyDescent="0.2">
      <c r="A91" s="78">
        <v>70</v>
      </c>
      <c r="B91" s="88">
        <v>254</v>
      </c>
      <c r="C91" s="89" t="s">
        <v>248</v>
      </c>
      <c r="D91" s="89"/>
      <c r="E91" s="89" t="s">
        <v>232</v>
      </c>
      <c r="F91" s="89" t="s">
        <v>229</v>
      </c>
      <c r="G91" s="90">
        <v>40.44</v>
      </c>
      <c r="H91" s="90"/>
      <c r="I91" s="90"/>
      <c r="J91" s="78" t="s">
        <v>311</v>
      </c>
      <c r="K91" s="90">
        <v>3</v>
      </c>
      <c r="L91" s="38">
        <f>VLOOKUP(K91,Reinigungstage!A10:B31,2,FALSE)</f>
        <v>117.6</v>
      </c>
      <c r="M91" s="38">
        <f t="shared" si="18"/>
        <v>4755.74</v>
      </c>
      <c r="N91" s="92">
        <f t="shared" si="19"/>
        <v>0</v>
      </c>
      <c r="O91" s="38">
        <f ca="1">IF('SVS UnterhaltsRG'!H61="",0,'SVS UnterhaltsRG'!H61)</f>
        <v>0</v>
      </c>
      <c r="P91" s="38">
        <f t="shared" si="20"/>
        <v>0</v>
      </c>
      <c r="Q91" s="38">
        <f t="shared" ca="1" si="21"/>
        <v>0</v>
      </c>
      <c r="R91" s="38">
        <f t="shared" si="22"/>
        <v>0</v>
      </c>
      <c r="S91" s="38">
        <f t="shared" ca="1" si="23"/>
        <v>0</v>
      </c>
      <c r="T91" s="16" t="str">
        <f t="shared" si="24"/>
        <v>Leistungswert eintragen</v>
      </c>
      <c r="U91" s="16">
        <f t="shared" si="25"/>
        <v>170</v>
      </c>
      <c r="V91" s="16">
        <f t="shared" si="26"/>
        <v>0</v>
      </c>
    </row>
    <row r="92" spans="1:22" ht="15" customHeight="1" x14ac:dyDescent="0.2">
      <c r="A92" s="78">
        <v>71</v>
      </c>
      <c r="B92" s="88">
        <v>271</v>
      </c>
      <c r="C92" s="89" t="s">
        <v>248</v>
      </c>
      <c r="D92" s="89"/>
      <c r="E92" s="89" t="s">
        <v>267</v>
      </c>
      <c r="F92" s="89" t="s">
        <v>244</v>
      </c>
      <c r="G92" s="90">
        <v>18.100000000000001</v>
      </c>
      <c r="H92" s="90"/>
      <c r="I92" s="90"/>
      <c r="J92" s="78" t="s">
        <v>310</v>
      </c>
      <c r="K92" s="90">
        <v>0</v>
      </c>
      <c r="L92" s="38">
        <f>VLOOKUP(K92,Reinigungstage!A10:B31,2,FALSE)</f>
        <v>0</v>
      </c>
      <c r="M92" s="38">
        <f t="shared" si="18"/>
        <v>0</v>
      </c>
      <c r="N92" s="92">
        <f t="shared" si="19"/>
        <v>0</v>
      </c>
      <c r="O92" s="38">
        <f ca="1">IF('SVS UnterhaltsRG'!H61="",0,'SVS UnterhaltsRG'!H61)</f>
        <v>0</v>
      </c>
      <c r="P92" s="38">
        <f t="shared" si="20"/>
        <v>0</v>
      </c>
      <c r="Q92" s="38">
        <f t="shared" si="21"/>
        <v>0</v>
      </c>
      <c r="R92" s="38">
        <f t="shared" si="22"/>
        <v>0</v>
      </c>
      <c r="S92" s="38">
        <f t="shared" si="23"/>
        <v>0</v>
      </c>
      <c r="T92" s="16" t="str">
        <f t="shared" si="24"/>
        <v/>
      </c>
      <c r="U92" s="16">
        <f t="shared" si="25"/>
        <v>300</v>
      </c>
      <c r="V92" s="16">
        <f t="shared" si="26"/>
        <v>0</v>
      </c>
    </row>
    <row r="93" spans="1:22" ht="15" customHeight="1" x14ac:dyDescent="0.2">
      <c r="A93" s="78">
        <v>72</v>
      </c>
      <c r="B93" s="88">
        <v>272</v>
      </c>
      <c r="C93" s="89" t="s">
        <v>248</v>
      </c>
      <c r="D93" s="89"/>
      <c r="E93" s="89" t="s">
        <v>240</v>
      </c>
      <c r="F93" s="89" t="s">
        <v>227</v>
      </c>
      <c r="G93" s="90">
        <v>40.22</v>
      </c>
      <c r="H93" s="90"/>
      <c r="I93" s="90"/>
      <c r="J93" s="78" t="s">
        <v>307</v>
      </c>
      <c r="K93" s="90">
        <v>5</v>
      </c>
      <c r="L93" s="38">
        <f>VLOOKUP(K93,Reinigungstage!A10:B31,2,FALSE)</f>
        <v>196</v>
      </c>
      <c r="M93" s="38">
        <f t="shared" si="18"/>
        <v>7883.12</v>
      </c>
      <c r="N93" s="92">
        <f t="shared" si="19"/>
        <v>0</v>
      </c>
      <c r="O93" s="38">
        <f ca="1">IF('SVS UnterhaltsRG'!H61="",0,'SVS UnterhaltsRG'!H61)</f>
        <v>0</v>
      </c>
      <c r="P93" s="38">
        <f t="shared" si="20"/>
        <v>0</v>
      </c>
      <c r="Q93" s="38">
        <f t="shared" ca="1" si="21"/>
        <v>0</v>
      </c>
      <c r="R93" s="38">
        <f t="shared" si="22"/>
        <v>0</v>
      </c>
      <c r="S93" s="38">
        <f t="shared" ca="1" si="23"/>
        <v>0</v>
      </c>
      <c r="T93" s="16" t="str">
        <f t="shared" si="24"/>
        <v>Leistungswert eintragen</v>
      </c>
      <c r="U93" s="16">
        <f t="shared" si="25"/>
        <v>165</v>
      </c>
      <c r="V93" s="16">
        <f t="shared" si="26"/>
        <v>0</v>
      </c>
    </row>
    <row r="94" spans="1:22" ht="15" customHeight="1" x14ac:dyDescent="0.2">
      <c r="A94" s="78">
        <v>73</v>
      </c>
      <c r="B94" s="88">
        <v>273</v>
      </c>
      <c r="C94" s="89" t="s">
        <v>248</v>
      </c>
      <c r="D94" s="89"/>
      <c r="E94" s="89" t="s">
        <v>241</v>
      </c>
      <c r="F94" s="89" t="s">
        <v>242</v>
      </c>
      <c r="G94" s="90">
        <v>2.88</v>
      </c>
      <c r="H94" s="90"/>
      <c r="I94" s="90"/>
      <c r="J94" s="78" t="s">
        <v>310</v>
      </c>
      <c r="K94" s="90">
        <v>0</v>
      </c>
      <c r="L94" s="38">
        <f>VLOOKUP(K94,Reinigungstage!A10:B31,2,FALSE)</f>
        <v>0</v>
      </c>
      <c r="M94" s="38">
        <f t="shared" si="18"/>
        <v>0</v>
      </c>
      <c r="N94" s="92">
        <f t="shared" si="19"/>
        <v>0</v>
      </c>
      <c r="O94" s="38">
        <f ca="1">IF('SVS UnterhaltsRG'!H61="",0,'SVS UnterhaltsRG'!H61)</f>
        <v>0</v>
      </c>
      <c r="P94" s="38">
        <f t="shared" si="20"/>
        <v>0</v>
      </c>
      <c r="Q94" s="38">
        <f t="shared" si="21"/>
        <v>0</v>
      </c>
      <c r="R94" s="38">
        <f t="shared" si="22"/>
        <v>0</v>
      </c>
      <c r="S94" s="38">
        <f t="shared" si="23"/>
        <v>0</v>
      </c>
      <c r="T94" s="16" t="str">
        <f t="shared" si="24"/>
        <v/>
      </c>
      <c r="U94" s="16">
        <f t="shared" si="25"/>
        <v>300</v>
      </c>
      <c r="V94" s="16">
        <f t="shared" si="26"/>
        <v>0</v>
      </c>
    </row>
    <row r="95" spans="1:22" ht="15" customHeight="1" x14ac:dyDescent="0.2">
      <c r="A95" s="78">
        <v>74</v>
      </c>
      <c r="B95" s="88">
        <v>274</v>
      </c>
      <c r="C95" s="89" t="s">
        <v>248</v>
      </c>
      <c r="D95" s="89"/>
      <c r="E95" s="89" t="s">
        <v>243</v>
      </c>
      <c r="F95" s="89" t="s">
        <v>244</v>
      </c>
      <c r="G95" s="90">
        <v>2.57</v>
      </c>
      <c r="H95" s="90"/>
      <c r="I95" s="90"/>
      <c r="J95" s="78" t="s">
        <v>310</v>
      </c>
      <c r="K95" s="90">
        <v>0</v>
      </c>
      <c r="L95" s="38">
        <f>VLOOKUP(K95,Reinigungstage!A10:B31,2,FALSE)</f>
        <v>0</v>
      </c>
      <c r="M95" s="38">
        <f t="shared" si="18"/>
        <v>0</v>
      </c>
      <c r="N95" s="92">
        <f t="shared" si="19"/>
        <v>0</v>
      </c>
      <c r="O95" s="38">
        <f ca="1">IF('SVS UnterhaltsRG'!H61="",0,'SVS UnterhaltsRG'!H61)</f>
        <v>0</v>
      </c>
      <c r="P95" s="38">
        <f t="shared" si="20"/>
        <v>0</v>
      </c>
      <c r="Q95" s="38">
        <f t="shared" si="21"/>
        <v>0</v>
      </c>
      <c r="R95" s="38">
        <f t="shared" si="22"/>
        <v>0</v>
      </c>
      <c r="S95" s="38">
        <f t="shared" si="23"/>
        <v>0</v>
      </c>
      <c r="T95" s="16" t="str">
        <f t="shared" si="24"/>
        <v/>
      </c>
      <c r="U95" s="16">
        <f t="shared" si="25"/>
        <v>300</v>
      </c>
      <c r="V95" s="16">
        <f t="shared" si="26"/>
        <v>0</v>
      </c>
    </row>
    <row r="96" spans="1:22" ht="15" customHeight="1" x14ac:dyDescent="0.2">
      <c r="A96" s="78">
        <v>75</v>
      </c>
      <c r="B96" s="88">
        <v>275</v>
      </c>
      <c r="C96" s="89" t="s">
        <v>248</v>
      </c>
      <c r="D96" s="89"/>
      <c r="E96" s="89" t="s">
        <v>245</v>
      </c>
      <c r="F96" s="89" t="s">
        <v>229</v>
      </c>
      <c r="G96" s="90">
        <v>93.63</v>
      </c>
      <c r="H96" s="90"/>
      <c r="I96" s="90"/>
      <c r="J96" s="78" t="s">
        <v>313</v>
      </c>
      <c r="K96" s="90">
        <v>5</v>
      </c>
      <c r="L96" s="38">
        <f>VLOOKUP(K96,Reinigungstage!A10:B31,2,FALSE)</f>
        <v>196</v>
      </c>
      <c r="M96" s="38">
        <f t="shared" si="18"/>
        <v>18351.48</v>
      </c>
      <c r="N96" s="92">
        <f t="shared" si="19"/>
        <v>0</v>
      </c>
      <c r="O96" s="38">
        <f ca="1">IF('SVS UnterhaltsRG'!H61="",0,'SVS UnterhaltsRG'!H61)</f>
        <v>0</v>
      </c>
      <c r="P96" s="38">
        <f t="shared" si="20"/>
        <v>0</v>
      </c>
      <c r="Q96" s="38">
        <f t="shared" ca="1" si="21"/>
        <v>0</v>
      </c>
      <c r="R96" s="38">
        <f t="shared" si="22"/>
        <v>0</v>
      </c>
      <c r="S96" s="38">
        <f t="shared" ca="1" si="23"/>
        <v>0</v>
      </c>
      <c r="T96" s="16" t="str">
        <f t="shared" si="24"/>
        <v>Leistungswert eintragen</v>
      </c>
      <c r="U96" s="16">
        <f t="shared" si="25"/>
        <v>450</v>
      </c>
      <c r="V96" s="16">
        <f t="shared" si="26"/>
        <v>0</v>
      </c>
    </row>
    <row r="97" spans="1:22" ht="15" customHeight="1" x14ac:dyDescent="0.2">
      <c r="A97" s="78">
        <v>76</v>
      </c>
      <c r="B97" s="88">
        <v>276</v>
      </c>
      <c r="C97" s="89" t="s">
        <v>248</v>
      </c>
      <c r="D97" s="89"/>
      <c r="E97" s="89" t="s">
        <v>245</v>
      </c>
      <c r="F97" s="89" t="s">
        <v>229</v>
      </c>
      <c r="G97" s="90">
        <v>102.33</v>
      </c>
      <c r="H97" s="90"/>
      <c r="I97" s="90"/>
      <c r="J97" s="78" t="s">
        <v>313</v>
      </c>
      <c r="K97" s="90">
        <v>5</v>
      </c>
      <c r="L97" s="38">
        <f>VLOOKUP(K97,Reinigungstage!A10:B31,2,FALSE)</f>
        <v>196</v>
      </c>
      <c r="M97" s="38">
        <f t="shared" si="18"/>
        <v>20056.68</v>
      </c>
      <c r="N97" s="92">
        <f t="shared" si="19"/>
        <v>0</v>
      </c>
      <c r="O97" s="38">
        <f ca="1">IF('SVS UnterhaltsRG'!H61="",0,'SVS UnterhaltsRG'!H61)</f>
        <v>0</v>
      </c>
      <c r="P97" s="38">
        <f t="shared" si="20"/>
        <v>0</v>
      </c>
      <c r="Q97" s="38">
        <f t="shared" ca="1" si="21"/>
        <v>0</v>
      </c>
      <c r="R97" s="38">
        <f t="shared" si="22"/>
        <v>0</v>
      </c>
      <c r="S97" s="38">
        <f t="shared" ca="1" si="23"/>
        <v>0</v>
      </c>
      <c r="T97" s="16" t="str">
        <f t="shared" si="24"/>
        <v>Leistungswert eintragen</v>
      </c>
      <c r="U97" s="16">
        <f t="shared" si="25"/>
        <v>450</v>
      </c>
      <c r="V97" s="16">
        <f t="shared" si="26"/>
        <v>0</v>
      </c>
    </row>
    <row r="98" spans="1:22" ht="15" customHeight="1" x14ac:dyDescent="0.2">
      <c r="A98" s="78">
        <v>77</v>
      </c>
      <c r="B98" s="88">
        <v>277</v>
      </c>
      <c r="C98" s="89" t="s">
        <v>248</v>
      </c>
      <c r="D98" s="89"/>
      <c r="E98" s="89" t="s">
        <v>245</v>
      </c>
      <c r="F98" s="89" t="s">
        <v>229</v>
      </c>
      <c r="G98" s="90">
        <v>67.19</v>
      </c>
      <c r="H98" s="90"/>
      <c r="I98" s="90"/>
      <c r="J98" s="78" t="s">
        <v>313</v>
      </c>
      <c r="K98" s="90">
        <v>5</v>
      </c>
      <c r="L98" s="38">
        <f>VLOOKUP(K98,Reinigungstage!A10:B31,2,FALSE)</f>
        <v>196</v>
      </c>
      <c r="M98" s="38">
        <f t="shared" si="18"/>
        <v>13169.24</v>
      </c>
      <c r="N98" s="92">
        <f t="shared" si="19"/>
        <v>0</v>
      </c>
      <c r="O98" s="38">
        <f ca="1">IF('SVS UnterhaltsRG'!H61="",0,'SVS UnterhaltsRG'!H61)</f>
        <v>0</v>
      </c>
      <c r="P98" s="38">
        <f t="shared" si="20"/>
        <v>0</v>
      </c>
      <c r="Q98" s="38">
        <f t="shared" ca="1" si="21"/>
        <v>0</v>
      </c>
      <c r="R98" s="38">
        <f t="shared" si="22"/>
        <v>0</v>
      </c>
      <c r="S98" s="38">
        <f t="shared" ca="1" si="23"/>
        <v>0</v>
      </c>
      <c r="T98" s="16" t="str">
        <f t="shared" si="24"/>
        <v>Leistungswert eintragen</v>
      </c>
      <c r="U98" s="16">
        <f t="shared" si="25"/>
        <v>450</v>
      </c>
      <c r="V98" s="16">
        <f t="shared" si="26"/>
        <v>0</v>
      </c>
    </row>
    <row r="99" spans="1:22" ht="15" customHeight="1" x14ac:dyDescent="0.2">
      <c r="A99" s="78">
        <v>78</v>
      </c>
      <c r="B99" s="88">
        <v>278</v>
      </c>
      <c r="C99" s="89" t="s">
        <v>248</v>
      </c>
      <c r="D99" s="89"/>
      <c r="E99" s="89" t="s">
        <v>272</v>
      </c>
      <c r="F99" s="89" t="s">
        <v>244</v>
      </c>
      <c r="G99" s="90">
        <v>4.8600000000000003</v>
      </c>
      <c r="H99" s="90"/>
      <c r="I99" s="90"/>
      <c r="J99" s="78" t="s">
        <v>310</v>
      </c>
      <c r="K99" s="90">
        <v>0</v>
      </c>
      <c r="L99" s="38">
        <f>VLOOKUP(K99,Reinigungstage!A10:B31,2,FALSE)</f>
        <v>0</v>
      </c>
      <c r="M99" s="38">
        <f t="shared" si="18"/>
        <v>0</v>
      </c>
      <c r="N99" s="92">
        <f t="shared" si="19"/>
        <v>0</v>
      </c>
      <c r="O99" s="38">
        <f ca="1">IF('SVS UnterhaltsRG'!H61="",0,'SVS UnterhaltsRG'!H61)</f>
        <v>0</v>
      </c>
      <c r="P99" s="38">
        <f t="shared" si="20"/>
        <v>0</v>
      </c>
      <c r="Q99" s="38">
        <f t="shared" si="21"/>
        <v>0</v>
      </c>
      <c r="R99" s="38">
        <f t="shared" si="22"/>
        <v>0</v>
      </c>
      <c r="S99" s="38">
        <f t="shared" si="23"/>
        <v>0</v>
      </c>
      <c r="T99" s="16" t="str">
        <f t="shared" si="24"/>
        <v/>
      </c>
      <c r="U99" s="16">
        <f t="shared" si="25"/>
        <v>300</v>
      </c>
      <c r="V99" s="16">
        <f t="shared" si="26"/>
        <v>0</v>
      </c>
    </row>
    <row r="100" spans="1:22" ht="15" customHeight="1" x14ac:dyDescent="0.2">
      <c r="A100" s="78">
        <v>79</v>
      </c>
      <c r="B100" s="88">
        <v>279</v>
      </c>
      <c r="C100" s="89" t="s">
        <v>248</v>
      </c>
      <c r="D100" s="89"/>
      <c r="E100" s="89" t="s">
        <v>247</v>
      </c>
      <c r="F100" s="89" t="s">
        <v>227</v>
      </c>
      <c r="G100" s="90">
        <v>40.19</v>
      </c>
      <c r="H100" s="90"/>
      <c r="I100" s="90"/>
      <c r="J100" s="78" t="s">
        <v>307</v>
      </c>
      <c r="K100" s="90">
        <v>5</v>
      </c>
      <c r="L100" s="38">
        <f>VLOOKUP(K100,Reinigungstage!A10:B31,2,FALSE)</f>
        <v>196</v>
      </c>
      <c r="M100" s="38">
        <f t="shared" si="18"/>
        <v>7877.24</v>
      </c>
      <c r="N100" s="92">
        <f t="shared" si="19"/>
        <v>0</v>
      </c>
      <c r="O100" s="38">
        <f ca="1">IF('SVS UnterhaltsRG'!H61="",0,'SVS UnterhaltsRG'!H61)</f>
        <v>0</v>
      </c>
      <c r="P100" s="38">
        <f t="shared" si="20"/>
        <v>0</v>
      </c>
      <c r="Q100" s="38">
        <f t="shared" ca="1" si="21"/>
        <v>0</v>
      </c>
      <c r="R100" s="38">
        <f t="shared" si="22"/>
        <v>0</v>
      </c>
      <c r="S100" s="38">
        <f t="shared" ca="1" si="23"/>
        <v>0</v>
      </c>
      <c r="T100" s="16" t="str">
        <f t="shared" si="24"/>
        <v>Leistungswert eintragen</v>
      </c>
      <c r="U100" s="16">
        <f t="shared" si="25"/>
        <v>165</v>
      </c>
      <c r="V100" s="16">
        <f t="shared" si="26"/>
        <v>0</v>
      </c>
    </row>
    <row r="101" spans="1:22" ht="15" customHeight="1" x14ac:dyDescent="0.2">
      <c r="A101" s="78">
        <v>80</v>
      </c>
      <c r="B101" s="88">
        <v>281</v>
      </c>
      <c r="C101" s="89" t="s">
        <v>248</v>
      </c>
      <c r="D101" s="89"/>
      <c r="E101" s="89" t="s">
        <v>273</v>
      </c>
      <c r="F101" s="89" t="s">
        <v>229</v>
      </c>
      <c r="G101" s="90">
        <v>93.78</v>
      </c>
      <c r="H101" s="90"/>
      <c r="I101" s="90"/>
      <c r="J101" s="78" t="s">
        <v>313</v>
      </c>
      <c r="K101" s="90">
        <v>5</v>
      </c>
      <c r="L101" s="38">
        <f>VLOOKUP(K101,Reinigungstage!A10:B31,2,FALSE)</f>
        <v>196</v>
      </c>
      <c r="M101" s="38">
        <f t="shared" si="18"/>
        <v>18380.88</v>
      </c>
      <c r="N101" s="92">
        <f t="shared" si="19"/>
        <v>0</v>
      </c>
      <c r="O101" s="38">
        <f ca="1">IF('SVS UnterhaltsRG'!H61="",0,'SVS UnterhaltsRG'!H61)</f>
        <v>0</v>
      </c>
      <c r="P101" s="38">
        <f t="shared" si="20"/>
        <v>0</v>
      </c>
      <c r="Q101" s="38">
        <f t="shared" ca="1" si="21"/>
        <v>0</v>
      </c>
      <c r="R101" s="38">
        <f t="shared" si="22"/>
        <v>0</v>
      </c>
      <c r="S101" s="38">
        <f t="shared" ca="1" si="23"/>
        <v>0</v>
      </c>
      <c r="T101" s="16" t="str">
        <f t="shared" si="24"/>
        <v>Leistungswert eintragen</v>
      </c>
      <c r="U101" s="16">
        <f t="shared" si="25"/>
        <v>450</v>
      </c>
      <c r="V101" s="16">
        <f t="shared" si="26"/>
        <v>0</v>
      </c>
    </row>
    <row r="102" spans="1:22" ht="15" customHeight="1" x14ac:dyDescent="0.2">
      <c r="A102" s="78">
        <v>81</v>
      </c>
      <c r="B102" s="88">
        <v>282</v>
      </c>
      <c r="C102" s="89" t="s">
        <v>248</v>
      </c>
      <c r="D102" s="89"/>
      <c r="E102" s="89" t="s">
        <v>274</v>
      </c>
      <c r="F102" s="89" t="s">
        <v>227</v>
      </c>
      <c r="G102" s="90">
        <v>17.98</v>
      </c>
      <c r="H102" s="90"/>
      <c r="I102" s="90"/>
      <c r="J102" s="78" t="s">
        <v>307</v>
      </c>
      <c r="K102" s="90">
        <v>5</v>
      </c>
      <c r="L102" s="38">
        <f>VLOOKUP(K102,Reinigungstage!A10:B31,2,FALSE)</f>
        <v>196</v>
      </c>
      <c r="M102" s="38">
        <f t="shared" si="18"/>
        <v>3524.08</v>
      </c>
      <c r="N102" s="92">
        <f t="shared" si="19"/>
        <v>0</v>
      </c>
      <c r="O102" s="38">
        <f ca="1">IF('SVS UnterhaltsRG'!H61="",0,'SVS UnterhaltsRG'!H61)</f>
        <v>0</v>
      </c>
      <c r="P102" s="38">
        <f t="shared" si="20"/>
        <v>0</v>
      </c>
      <c r="Q102" s="38">
        <f t="shared" ca="1" si="21"/>
        <v>0</v>
      </c>
      <c r="R102" s="38">
        <f t="shared" si="22"/>
        <v>0</v>
      </c>
      <c r="S102" s="38">
        <f t="shared" ca="1" si="23"/>
        <v>0</v>
      </c>
      <c r="T102" s="16" t="str">
        <f t="shared" si="24"/>
        <v>Leistungswert eintragen</v>
      </c>
      <c r="U102" s="16">
        <f t="shared" si="25"/>
        <v>165</v>
      </c>
      <c r="V102" s="16">
        <f t="shared" si="26"/>
        <v>0</v>
      </c>
    </row>
    <row r="103" spans="1:22" ht="15" customHeight="1" x14ac:dyDescent="0.2">
      <c r="A103" s="78">
        <v>82</v>
      </c>
      <c r="B103" s="88">
        <v>291</v>
      </c>
      <c r="C103" s="89" t="s">
        <v>248</v>
      </c>
      <c r="D103" s="89"/>
      <c r="E103" s="89" t="s">
        <v>245</v>
      </c>
      <c r="F103" s="89" t="s">
        <v>229</v>
      </c>
      <c r="G103" s="90">
        <v>120.8</v>
      </c>
      <c r="H103" s="90"/>
      <c r="I103" s="90"/>
      <c r="J103" s="78" t="s">
        <v>313</v>
      </c>
      <c r="K103" s="90">
        <v>5</v>
      </c>
      <c r="L103" s="38">
        <f>VLOOKUP(K103,Reinigungstage!A10:B31,2,FALSE)</f>
        <v>196</v>
      </c>
      <c r="M103" s="38">
        <f t="shared" si="18"/>
        <v>23676.799999999999</v>
      </c>
      <c r="N103" s="92">
        <f t="shared" si="19"/>
        <v>0</v>
      </c>
      <c r="O103" s="38">
        <f ca="1">IF('SVS UnterhaltsRG'!H61="",0,'SVS UnterhaltsRG'!H61)</f>
        <v>0</v>
      </c>
      <c r="P103" s="38">
        <f t="shared" si="20"/>
        <v>0</v>
      </c>
      <c r="Q103" s="38">
        <f t="shared" ca="1" si="21"/>
        <v>0</v>
      </c>
      <c r="R103" s="38">
        <f t="shared" si="22"/>
        <v>0</v>
      </c>
      <c r="S103" s="38">
        <f t="shared" ca="1" si="23"/>
        <v>0</v>
      </c>
      <c r="T103" s="16" t="str">
        <f t="shared" si="24"/>
        <v>Leistungswert eintragen</v>
      </c>
      <c r="U103" s="16">
        <f t="shared" si="25"/>
        <v>450</v>
      </c>
      <c r="V103" s="16">
        <f t="shared" si="26"/>
        <v>0</v>
      </c>
    </row>
    <row r="104" spans="1:22" ht="15" customHeight="1" x14ac:dyDescent="0.2">
      <c r="A104" s="78">
        <v>83</v>
      </c>
      <c r="B104" s="88">
        <v>292</v>
      </c>
      <c r="C104" s="89" t="s">
        <v>248</v>
      </c>
      <c r="D104" s="89"/>
      <c r="E104" s="89" t="s">
        <v>275</v>
      </c>
      <c r="F104" s="89" t="s">
        <v>227</v>
      </c>
      <c r="G104" s="90">
        <v>24.35</v>
      </c>
      <c r="H104" s="90"/>
      <c r="I104" s="90"/>
      <c r="J104" s="78" t="s">
        <v>307</v>
      </c>
      <c r="K104" s="90">
        <v>5</v>
      </c>
      <c r="L104" s="38">
        <f>VLOOKUP(K104,Reinigungstage!A10:B31,2,FALSE)</f>
        <v>196</v>
      </c>
      <c r="M104" s="38">
        <f t="shared" si="18"/>
        <v>4772.6000000000004</v>
      </c>
      <c r="N104" s="92">
        <f t="shared" si="19"/>
        <v>0</v>
      </c>
      <c r="O104" s="38">
        <f ca="1">IF('SVS UnterhaltsRG'!H61="",0,'SVS UnterhaltsRG'!H61)</f>
        <v>0</v>
      </c>
      <c r="P104" s="38">
        <f t="shared" si="20"/>
        <v>0</v>
      </c>
      <c r="Q104" s="38">
        <f t="shared" ca="1" si="21"/>
        <v>0</v>
      </c>
      <c r="R104" s="38">
        <f t="shared" si="22"/>
        <v>0</v>
      </c>
      <c r="S104" s="38">
        <f t="shared" ca="1" si="23"/>
        <v>0</v>
      </c>
      <c r="T104" s="16" t="str">
        <f t="shared" si="24"/>
        <v>Leistungswert eintragen</v>
      </c>
      <c r="U104" s="16">
        <f t="shared" si="25"/>
        <v>165</v>
      </c>
      <c r="V104" s="16">
        <f t="shared" si="26"/>
        <v>0</v>
      </c>
    </row>
    <row r="105" spans="1:22" ht="15" customHeight="1" x14ac:dyDescent="0.2">
      <c r="A105" s="78">
        <v>84</v>
      </c>
      <c r="B105" s="88">
        <v>101</v>
      </c>
      <c r="C105" s="89" t="s">
        <v>276</v>
      </c>
      <c r="D105" s="89"/>
      <c r="E105" s="89" t="s">
        <v>277</v>
      </c>
      <c r="F105" s="89" t="s">
        <v>227</v>
      </c>
      <c r="G105" s="90">
        <v>96.38</v>
      </c>
      <c r="H105" s="90"/>
      <c r="I105" s="90"/>
      <c r="J105" s="78" t="s">
        <v>313</v>
      </c>
      <c r="K105" s="90">
        <v>5</v>
      </c>
      <c r="L105" s="38">
        <f>VLOOKUP(K105,Reinigungstage!A10:B31,2,FALSE)</f>
        <v>196</v>
      </c>
      <c r="M105" s="38">
        <f t="shared" si="18"/>
        <v>18890.48</v>
      </c>
      <c r="N105" s="92">
        <f t="shared" si="19"/>
        <v>0</v>
      </c>
      <c r="O105" s="38">
        <f ca="1">IF('SVS UnterhaltsRG'!$H$61="",0,'SVS UnterhaltsRG'!$H$61)</f>
        <v>0</v>
      </c>
      <c r="P105" s="38">
        <f t="shared" si="20"/>
        <v>0</v>
      </c>
      <c r="Q105" s="38">
        <f t="shared" ca="1" si="21"/>
        <v>0</v>
      </c>
      <c r="R105" s="38">
        <f t="shared" si="22"/>
        <v>0</v>
      </c>
      <c r="S105" s="38">
        <f t="shared" ca="1" si="23"/>
        <v>0</v>
      </c>
      <c r="T105" s="16" t="str">
        <f t="shared" si="24"/>
        <v>Leistungswert eintragen</v>
      </c>
      <c r="U105" s="16">
        <f t="shared" si="25"/>
        <v>450</v>
      </c>
      <c r="V105" s="16">
        <f t="shared" si="26"/>
        <v>0</v>
      </c>
    </row>
    <row r="106" spans="1:22" ht="15" customHeight="1" x14ac:dyDescent="0.2">
      <c r="A106" s="78">
        <v>85</v>
      </c>
      <c r="B106" s="88">
        <v>102</v>
      </c>
      <c r="C106" s="89" t="s">
        <v>276</v>
      </c>
      <c r="D106" s="89"/>
      <c r="E106" s="89" t="s">
        <v>277</v>
      </c>
      <c r="F106" s="89" t="s">
        <v>227</v>
      </c>
      <c r="G106" s="90">
        <v>41.73</v>
      </c>
      <c r="H106" s="90"/>
      <c r="I106" s="90"/>
      <c r="J106" s="78" t="s">
        <v>313</v>
      </c>
      <c r="K106" s="90">
        <v>5</v>
      </c>
      <c r="L106" s="38">
        <f>VLOOKUP(K106,Reinigungstage!A10:B31,2,FALSE)</f>
        <v>196</v>
      </c>
      <c r="M106" s="38">
        <f t="shared" si="18"/>
        <v>8179.08</v>
      </c>
      <c r="N106" s="92">
        <f t="shared" si="19"/>
        <v>0</v>
      </c>
      <c r="O106" s="38">
        <f ca="1">IF('SVS UnterhaltsRG'!$H$61="",0,'SVS UnterhaltsRG'!$H$61)</f>
        <v>0</v>
      </c>
      <c r="P106" s="38">
        <f t="shared" si="20"/>
        <v>0</v>
      </c>
      <c r="Q106" s="38">
        <f t="shared" ca="1" si="21"/>
        <v>0</v>
      </c>
      <c r="R106" s="38">
        <f t="shared" si="22"/>
        <v>0</v>
      </c>
      <c r="S106" s="38">
        <f t="shared" ca="1" si="23"/>
        <v>0</v>
      </c>
      <c r="T106" s="16" t="str">
        <f t="shared" si="24"/>
        <v>Leistungswert eintragen</v>
      </c>
      <c r="U106" s="16">
        <f t="shared" si="25"/>
        <v>450</v>
      </c>
      <c r="V106" s="16">
        <f t="shared" si="26"/>
        <v>0</v>
      </c>
    </row>
    <row r="107" spans="1:22" ht="15" customHeight="1" x14ac:dyDescent="0.2">
      <c r="A107" s="78">
        <v>86</v>
      </c>
      <c r="B107" s="88">
        <v>103</v>
      </c>
      <c r="C107" s="89" t="s">
        <v>276</v>
      </c>
      <c r="D107" s="89"/>
      <c r="E107" s="89" t="s">
        <v>278</v>
      </c>
      <c r="F107" s="89" t="s">
        <v>227</v>
      </c>
      <c r="G107" s="90">
        <v>7.48</v>
      </c>
      <c r="H107" s="90"/>
      <c r="I107" s="90"/>
      <c r="J107" s="78" t="s">
        <v>315</v>
      </c>
      <c r="K107" s="90">
        <v>5</v>
      </c>
      <c r="L107" s="38">
        <f>VLOOKUP(K107,Reinigungstage!A10:B31,2,FALSE)</f>
        <v>196</v>
      </c>
      <c r="M107" s="38">
        <f t="shared" si="18"/>
        <v>1466.08</v>
      </c>
      <c r="N107" s="92">
        <f t="shared" si="19"/>
        <v>0</v>
      </c>
      <c r="O107" s="38">
        <f ca="1">IF('SVS UnterhaltsRG'!$H$61="",0,'SVS UnterhaltsRG'!$H$61)</f>
        <v>0</v>
      </c>
      <c r="P107" s="38">
        <f t="shared" si="20"/>
        <v>0</v>
      </c>
      <c r="Q107" s="38">
        <f t="shared" ca="1" si="21"/>
        <v>0</v>
      </c>
      <c r="R107" s="38">
        <f t="shared" si="22"/>
        <v>0</v>
      </c>
      <c r="S107" s="38">
        <f t="shared" ca="1" si="23"/>
        <v>0</v>
      </c>
      <c r="T107" s="16" t="str">
        <f t="shared" si="24"/>
        <v>Leistungswert eintragen</v>
      </c>
      <c r="U107" s="16">
        <f t="shared" si="25"/>
        <v>115</v>
      </c>
      <c r="V107" s="16">
        <f t="shared" si="26"/>
        <v>0</v>
      </c>
    </row>
    <row r="108" spans="1:22" ht="15" customHeight="1" x14ac:dyDescent="0.2">
      <c r="A108" s="78">
        <v>87</v>
      </c>
      <c r="B108" s="88">
        <v>104</v>
      </c>
      <c r="C108" s="89" t="s">
        <v>276</v>
      </c>
      <c r="D108" s="89"/>
      <c r="E108" s="89" t="s">
        <v>236</v>
      </c>
      <c r="F108" s="89" t="s">
        <v>227</v>
      </c>
      <c r="G108" s="90">
        <v>6.15</v>
      </c>
      <c r="H108" s="90"/>
      <c r="I108" s="90"/>
      <c r="J108" s="78" t="s">
        <v>312</v>
      </c>
      <c r="K108" s="90">
        <v>5</v>
      </c>
      <c r="L108" s="38">
        <f>VLOOKUP(K108,Reinigungstage!A10:B31,2,FALSE)</f>
        <v>196</v>
      </c>
      <c r="M108" s="38">
        <f t="shared" si="18"/>
        <v>1205.4000000000001</v>
      </c>
      <c r="N108" s="92">
        <f t="shared" si="19"/>
        <v>0</v>
      </c>
      <c r="O108" s="38">
        <f ca="1">IF('SVS UnterhaltsRG'!$H$61="",0,'SVS UnterhaltsRG'!$H$61)</f>
        <v>0</v>
      </c>
      <c r="P108" s="38">
        <f t="shared" si="20"/>
        <v>0</v>
      </c>
      <c r="Q108" s="38">
        <f t="shared" ca="1" si="21"/>
        <v>0</v>
      </c>
      <c r="R108" s="38">
        <f t="shared" si="22"/>
        <v>0</v>
      </c>
      <c r="S108" s="38">
        <f t="shared" ca="1" si="23"/>
        <v>0</v>
      </c>
      <c r="T108" s="16" t="str">
        <f t="shared" si="24"/>
        <v>Leistungswert eintragen</v>
      </c>
      <c r="U108" s="16">
        <f t="shared" si="25"/>
        <v>75</v>
      </c>
      <c r="V108" s="16">
        <f t="shared" si="26"/>
        <v>0</v>
      </c>
    </row>
    <row r="109" spans="1:22" ht="15" customHeight="1" x14ac:dyDescent="0.2">
      <c r="A109" s="78">
        <v>88</v>
      </c>
      <c r="B109" s="88">
        <v>105</v>
      </c>
      <c r="C109" s="89" t="s">
        <v>276</v>
      </c>
      <c r="D109" s="89"/>
      <c r="E109" s="89" t="s">
        <v>279</v>
      </c>
      <c r="F109" s="89" t="s">
        <v>227</v>
      </c>
      <c r="G109" s="90">
        <v>10.220000000000001</v>
      </c>
      <c r="H109" s="90"/>
      <c r="I109" s="90"/>
      <c r="J109" s="78" t="s">
        <v>312</v>
      </c>
      <c r="K109" s="90">
        <v>5</v>
      </c>
      <c r="L109" s="38">
        <f>VLOOKUP(K109,Reinigungstage!A10:B31,2,FALSE)</f>
        <v>196</v>
      </c>
      <c r="M109" s="38">
        <f t="shared" si="18"/>
        <v>2003.12</v>
      </c>
      <c r="N109" s="92">
        <f t="shared" si="19"/>
        <v>0</v>
      </c>
      <c r="O109" s="38">
        <f ca="1">IF('SVS UnterhaltsRG'!$H$61="",0,'SVS UnterhaltsRG'!$H$61)</f>
        <v>0</v>
      </c>
      <c r="P109" s="38">
        <f t="shared" si="20"/>
        <v>0</v>
      </c>
      <c r="Q109" s="38">
        <f t="shared" ca="1" si="21"/>
        <v>0</v>
      </c>
      <c r="R109" s="38">
        <f t="shared" si="22"/>
        <v>0</v>
      </c>
      <c r="S109" s="38">
        <f t="shared" ca="1" si="23"/>
        <v>0</v>
      </c>
      <c r="T109" s="16" t="str">
        <f t="shared" si="24"/>
        <v>Leistungswert eintragen</v>
      </c>
      <c r="U109" s="16">
        <f t="shared" si="25"/>
        <v>75</v>
      </c>
      <c r="V109" s="16">
        <f t="shared" si="26"/>
        <v>0</v>
      </c>
    </row>
    <row r="110" spans="1:22" ht="15" customHeight="1" x14ac:dyDescent="0.2">
      <c r="A110" s="78">
        <v>89</v>
      </c>
      <c r="B110" s="88">
        <v>106</v>
      </c>
      <c r="C110" s="89" t="s">
        <v>276</v>
      </c>
      <c r="D110" s="89"/>
      <c r="E110" s="89" t="s">
        <v>280</v>
      </c>
      <c r="F110" s="89" t="s">
        <v>227</v>
      </c>
      <c r="G110" s="90">
        <v>11.3</v>
      </c>
      <c r="H110" s="90"/>
      <c r="I110" s="90"/>
      <c r="J110" s="78" t="s">
        <v>312</v>
      </c>
      <c r="K110" s="90">
        <v>5</v>
      </c>
      <c r="L110" s="38">
        <f>VLOOKUP(K110,Reinigungstage!A10:B31,2,FALSE)</f>
        <v>196</v>
      </c>
      <c r="M110" s="38">
        <f t="shared" si="18"/>
        <v>2214.8000000000002</v>
      </c>
      <c r="N110" s="92">
        <f t="shared" si="19"/>
        <v>0</v>
      </c>
      <c r="O110" s="38">
        <f ca="1">IF('SVS UnterhaltsRG'!$H$61="",0,'SVS UnterhaltsRG'!$H$61)</f>
        <v>0</v>
      </c>
      <c r="P110" s="38">
        <f t="shared" si="20"/>
        <v>0</v>
      </c>
      <c r="Q110" s="38">
        <f t="shared" ca="1" si="21"/>
        <v>0</v>
      </c>
      <c r="R110" s="38">
        <f t="shared" si="22"/>
        <v>0</v>
      </c>
      <c r="S110" s="38">
        <f t="shared" ca="1" si="23"/>
        <v>0</v>
      </c>
      <c r="T110" s="16" t="str">
        <f t="shared" si="24"/>
        <v>Leistungswert eintragen</v>
      </c>
      <c r="U110" s="16">
        <f t="shared" si="25"/>
        <v>75</v>
      </c>
      <c r="V110" s="16">
        <f t="shared" si="26"/>
        <v>0</v>
      </c>
    </row>
    <row r="111" spans="1:22" ht="15" customHeight="1" x14ac:dyDescent="0.2">
      <c r="A111" s="78">
        <v>90</v>
      </c>
      <c r="B111" s="88">
        <v>111</v>
      </c>
      <c r="C111" s="89" t="s">
        <v>276</v>
      </c>
      <c r="D111" s="89"/>
      <c r="E111" s="89" t="s">
        <v>233</v>
      </c>
      <c r="F111" s="89" t="s">
        <v>229</v>
      </c>
      <c r="G111" s="90">
        <v>67.319999999999993</v>
      </c>
      <c r="H111" s="90"/>
      <c r="I111" s="90"/>
      <c r="J111" s="78" t="s">
        <v>308</v>
      </c>
      <c r="K111" s="90">
        <v>3</v>
      </c>
      <c r="L111" s="38">
        <f>VLOOKUP(K111,Reinigungstage!A10:B31,2,FALSE)</f>
        <v>117.6</v>
      </c>
      <c r="M111" s="38">
        <f t="shared" si="18"/>
        <v>7916.83</v>
      </c>
      <c r="N111" s="92">
        <f t="shared" si="19"/>
        <v>0</v>
      </c>
      <c r="O111" s="38">
        <f ca="1">IF('SVS UnterhaltsRG'!$H$61="",0,'SVS UnterhaltsRG'!$H$61)</f>
        <v>0</v>
      </c>
      <c r="P111" s="38">
        <f t="shared" si="20"/>
        <v>0</v>
      </c>
      <c r="Q111" s="38">
        <f t="shared" ca="1" si="21"/>
        <v>0</v>
      </c>
      <c r="R111" s="38">
        <f t="shared" si="22"/>
        <v>0</v>
      </c>
      <c r="S111" s="38">
        <f t="shared" ca="1" si="23"/>
        <v>0</v>
      </c>
      <c r="T111" s="16" t="str">
        <f t="shared" si="24"/>
        <v>Leistungswert eintragen</v>
      </c>
      <c r="U111" s="16">
        <f t="shared" si="25"/>
        <v>240</v>
      </c>
      <c r="V111" s="16">
        <f t="shared" si="26"/>
        <v>0</v>
      </c>
    </row>
    <row r="112" spans="1:22" ht="15" customHeight="1" x14ac:dyDescent="0.2">
      <c r="A112" s="78">
        <v>91</v>
      </c>
      <c r="B112" s="88">
        <v>112</v>
      </c>
      <c r="C112" s="89" t="s">
        <v>276</v>
      </c>
      <c r="D112" s="89"/>
      <c r="E112" s="89" t="s">
        <v>234</v>
      </c>
      <c r="F112" s="89" t="s">
        <v>229</v>
      </c>
      <c r="G112" s="90">
        <v>16.29</v>
      </c>
      <c r="H112" s="90"/>
      <c r="I112" s="90"/>
      <c r="J112" s="78" t="s">
        <v>309</v>
      </c>
      <c r="K112" s="90">
        <v>1</v>
      </c>
      <c r="L112" s="38">
        <f>VLOOKUP(K112,Reinigungstage!A10:B31,2,FALSE)</f>
        <v>40.71</v>
      </c>
      <c r="M112" s="38">
        <f t="shared" si="18"/>
        <v>663.17</v>
      </c>
      <c r="N112" s="92">
        <f t="shared" si="19"/>
        <v>0</v>
      </c>
      <c r="O112" s="38">
        <f ca="1">IF('SVS UnterhaltsRG'!$H$61="",0,'SVS UnterhaltsRG'!$H$61)</f>
        <v>0</v>
      </c>
      <c r="P112" s="38">
        <f t="shared" si="20"/>
        <v>0</v>
      </c>
      <c r="Q112" s="38">
        <f t="shared" ca="1" si="21"/>
        <v>0</v>
      </c>
      <c r="R112" s="38">
        <f t="shared" si="22"/>
        <v>0</v>
      </c>
      <c r="S112" s="38">
        <f t="shared" ca="1" si="23"/>
        <v>0</v>
      </c>
      <c r="T112" s="16" t="str">
        <f t="shared" si="24"/>
        <v>Leistungswert eintragen</v>
      </c>
      <c r="U112" s="16">
        <f t="shared" si="25"/>
        <v>215</v>
      </c>
      <c r="V112" s="16">
        <f t="shared" si="26"/>
        <v>0</v>
      </c>
    </row>
    <row r="113" spans="1:22" ht="15" customHeight="1" x14ac:dyDescent="0.2">
      <c r="A113" s="78">
        <v>92</v>
      </c>
      <c r="B113" s="88">
        <v>113</v>
      </c>
      <c r="C113" s="89" t="s">
        <v>276</v>
      </c>
      <c r="D113" s="89"/>
      <c r="E113" s="89" t="s">
        <v>233</v>
      </c>
      <c r="F113" s="89" t="s">
        <v>229</v>
      </c>
      <c r="G113" s="90">
        <v>59.38</v>
      </c>
      <c r="H113" s="90"/>
      <c r="I113" s="90"/>
      <c r="J113" s="78" t="s">
        <v>308</v>
      </c>
      <c r="K113" s="90">
        <v>3</v>
      </c>
      <c r="L113" s="38">
        <f>VLOOKUP(K113,Reinigungstage!A10:B31,2,FALSE)</f>
        <v>117.6</v>
      </c>
      <c r="M113" s="38">
        <f t="shared" si="18"/>
        <v>6983.09</v>
      </c>
      <c r="N113" s="92">
        <f t="shared" si="19"/>
        <v>0</v>
      </c>
      <c r="O113" s="38">
        <f ca="1">IF('SVS UnterhaltsRG'!$H$61="",0,'SVS UnterhaltsRG'!$H$61)</f>
        <v>0</v>
      </c>
      <c r="P113" s="38">
        <f t="shared" si="20"/>
        <v>0</v>
      </c>
      <c r="Q113" s="38">
        <f t="shared" ca="1" si="21"/>
        <v>0</v>
      </c>
      <c r="R113" s="38">
        <f t="shared" si="22"/>
        <v>0</v>
      </c>
      <c r="S113" s="38">
        <f t="shared" ca="1" si="23"/>
        <v>0</v>
      </c>
      <c r="T113" s="16" t="str">
        <f t="shared" si="24"/>
        <v>Leistungswert eintragen</v>
      </c>
      <c r="U113" s="16">
        <f t="shared" si="25"/>
        <v>240</v>
      </c>
      <c r="V113" s="16">
        <f t="shared" si="26"/>
        <v>0</v>
      </c>
    </row>
    <row r="114" spans="1:22" ht="15" customHeight="1" x14ac:dyDescent="0.2">
      <c r="A114" s="78">
        <v>93</v>
      </c>
      <c r="B114" s="88">
        <v>114</v>
      </c>
      <c r="C114" s="89" t="s">
        <v>276</v>
      </c>
      <c r="D114" s="89"/>
      <c r="E114" s="89" t="s">
        <v>233</v>
      </c>
      <c r="F114" s="89" t="s">
        <v>229</v>
      </c>
      <c r="G114" s="90">
        <v>59.38</v>
      </c>
      <c r="H114" s="90"/>
      <c r="I114" s="90"/>
      <c r="J114" s="78" t="s">
        <v>308</v>
      </c>
      <c r="K114" s="90">
        <v>3</v>
      </c>
      <c r="L114" s="38">
        <f>VLOOKUP(K114,Reinigungstage!A10:B31,2,FALSE)</f>
        <v>117.6</v>
      </c>
      <c r="M114" s="38">
        <f t="shared" si="18"/>
        <v>6983.09</v>
      </c>
      <c r="N114" s="92">
        <f t="shared" si="19"/>
        <v>0</v>
      </c>
      <c r="O114" s="38">
        <f ca="1">IF('SVS UnterhaltsRG'!$H$61="",0,'SVS UnterhaltsRG'!$H$61)</f>
        <v>0</v>
      </c>
      <c r="P114" s="38">
        <f t="shared" si="20"/>
        <v>0</v>
      </c>
      <c r="Q114" s="38">
        <f t="shared" ca="1" si="21"/>
        <v>0</v>
      </c>
      <c r="R114" s="38">
        <f t="shared" si="22"/>
        <v>0</v>
      </c>
      <c r="S114" s="38">
        <f t="shared" ca="1" si="23"/>
        <v>0</v>
      </c>
      <c r="T114" s="16" t="str">
        <f t="shared" si="24"/>
        <v>Leistungswert eintragen</v>
      </c>
      <c r="U114" s="16">
        <f t="shared" si="25"/>
        <v>240</v>
      </c>
      <c r="V114" s="16">
        <f t="shared" si="26"/>
        <v>0</v>
      </c>
    </row>
    <row r="115" spans="1:22" ht="15" customHeight="1" x14ac:dyDescent="0.2">
      <c r="A115" s="78">
        <v>94</v>
      </c>
      <c r="B115" s="88">
        <v>115</v>
      </c>
      <c r="C115" s="89" t="s">
        <v>276</v>
      </c>
      <c r="D115" s="89"/>
      <c r="E115" s="89" t="s">
        <v>234</v>
      </c>
      <c r="F115" s="89" t="s">
        <v>229</v>
      </c>
      <c r="G115" s="90">
        <v>15.67</v>
      </c>
      <c r="H115" s="90"/>
      <c r="I115" s="90"/>
      <c r="J115" s="78" t="s">
        <v>309</v>
      </c>
      <c r="K115" s="90">
        <v>1</v>
      </c>
      <c r="L115" s="38">
        <f>VLOOKUP(K115,Reinigungstage!A10:B31,2,FALSE)</f>
        <v>40.71</v>
      </c>
      <c r="M115" s="38">
        <f t="shared" si="18"/>
        <v>637.92999999999995</v>
      </c>
      <c r="N115" s="92">
        <f t="shared" si="19"/>
        <v>0</v>
      </c>
      <c r="O115" s="38">
        <f ca="1">IF('SVS UnterhaltsRG'!$H$61="",0,'SVS UnterhaltsRG'!$H$61)</f>
        <v>0</v>
      </c>
      <c r="P115" s="38">
        <f t="shared" si="20"/>
        <v>0</v>
      </c>
      <c r="Q115" s="38">
        <f t="shared" ca="1" si="21"/>
        <v>0</v>
      </c>
      <c r="R115" s="38">
        <f t="shared" si="22"/>
        <v>0</v>
      </c>
      <c r="S115" s="38">
        <f t="shared" ca="1" si="23"/>
        <v>0</v>
      </c>
      <c r="T115" s="16" t="str">
        <f t="shared" si="24"/>
        <v>Leistungswert eintragen</v>
      </c>
      <c r="U115" s="16">
        <f t="shared" si="25"/>
        <v>215</v>
      </c>
      <c r="V115" s="16">
        <f t="shared" si="26"/>
        <v>0</v>
      </c>
    </row>
    <row r="116" spans="1:22" ht="15" customHeight="1" x14ac:dyDescent="0.2">
      <c r="A116" s="78">
        <v>95</v>
      </c>
      <c r="B116" s="88">
        <v>116</v>
      </c>
      <c r="C116" s="89" t="s">
        <v>276</v>
      </c>
      <c r="D116" s="89"/>
      <c r="E116" s="89" t="s">
        <v>233</v>
      </c>
      <c r="F116" s="89" t="s">
        <v>229</v>
      </c>
      <c r="G116" s="90">
        <v>59.38</v>
      </c>
      <c r="H116" s="90"/>
      <c r="I116" s="90"/>
      <c r="J116" s="78" t="s">
        <v>308</v>
      </c>
      <c r="K116" s="90">
        <v>3</v>
      </c>
      <c r="L116" s="38">
        <f>VLOOKUP(K116,Reinigungstage!A10:B31,2,FALSE)</f>
        <v>117.6</v>
      </c>
      <c r="M116" s="38">
        <f t="shared" si="18"/>
        <v>6983.09</v>
      </c>
      <c r="N116" s="92">
        <f t="shared" si="19"/>
        <v>0</v>
      </c>
      <c r="O116" s="38">
        <f ca="1">IF('SVS UnterhaltsRG'!$H$61="",0,'SVS UnterhaltsRG'!$H$61)</f>
        <v>0</v>
      </c>
      <c r="P116" s="38">
        <f t="shared" si="20"/>
        <v>0</v>
      </c>
      <c r="Q116" s="38">
        <f t="shared" ca="1" si="21"/>
        <v>0</v>
      </c>
      <c r="R116" s="38">
        <f t="shared" si="22"/>
        <v>0</v>
      </c>
      <c r="S116" s="38">
        <f t="shared" ca="1" si="23"/>
        <v>0</v>
      </c>
      <c r="T116" s="16" t="str">
        <f t="shared" si="24"/>
        <v>Leistungswert eintragen</v>
      </c>
      <c r="U116" s="16">
        <f t="shared" si="25"/>
        <v>240</v>
      </c>
      <c r="V116" s="16">
        <f t="shared" si="26"/>
        <v>0</v>
      </c>
    </row>
    <row r="117" spans="1:22" ht="15" customHeight="1" x14ac:dyDescent="0.2">
      <c r="A117" s="78">
        <v>96</v>
      </c>
      <c r="B117" s="88">
        <v>117</v>
      </c>
      <c r="C117" s="89" t="s">
        <v>276</v>
      </c>
      <c r="D117" s="89"/>
      <c r="E117" s="89" t="s">
        <v>233</v>
      </c>
      <c r="F117" s="89" t="s">
        <v>229</v>
      </c>
      <c r="G117" s="90">
        <v>59.38</v>
      </c>
      <c r="H117" s="90"/>
      <c r="I117" s="90"/>
      <c r="J117" s="78" t="s">
        <v>308</v>
      </c>
      <c r="K117" s="90">
        <v>3</v>
      </c>
      <c r="L117" s="38">
        <f>VLOOKUP(K117,Reinigungstage!A10:B31,2,FALSE)</f>
        <v>117.6</v>
      </c>
      <c r="M117" s="38">
        <f t="shared" si="18"/>
        <v>6983.09</v>
      </c>
      <c r="N117" s="92">
        <f t="shared" si="19"/>
        <v>0</v>
      </c>
      <c r="O117" s="38">
        <f ca="1">IF('SVS UnterhaltsRG'!$H$61="",0,'SVS UnterhaltsRG'!$H$61)</f>
        <v>0</v>
      </c>
      <c r="P117" s="38">
        <f t="shared" si="20"/>
        <v>0</v>
      </c>
      <c r="Q117" s="38">
        <f t="shared" ca="1" si="21"/>
        <v>0</v>
      </c>
      <c r="R117" s="38">
        <f t="shared" si="22"/>
        <v>0</v>
      </c>
      <c r="S117" s="38">
        <f t="shared" ca="1" si="23"/>
        <v>0</v>
      </c>
      <c r="T117" s="16" t="str">
        <f t="shared" si="24"/>
        <v>Leistungswert eintragen</v>
      </c>
      <c r="U117" s="16">
        <f t="shared" si="25"/>
        <v>240</v>
      </c>
      <c r="V117" s="16">
        <f t="shared" si="26"/>
        <v>0</v>
      </c>
    </row>
    <row r="118" spans="1:22" ht="15" customHeight="1" x14ac:dyDescent="0.2">
      <c r="A118" s="78">
        <v>97</v>
      </c>
      <c r="B118" s="88">
        <v>118</v>
      </c>
      <c r="C118" s="89" t="s">
        <v>276</v>
      </c>
      <c r="D118" s="89"/>
      <c r="E118" s="89" t="s">
        <v>234</v>
      </c>
      <c r="F118" s="89" t="s">
        <v>229</v>
      </c>
      <c r="G118" s="90">
        <v>16.29</v>
      </c>
      <c r="H118" s="90"/>
      <c r="I118" s="90"/>
      <c r="J118" s="78" t="s">
        <v>309</v>
      </c>
      <c r="K118" s="90">
        <v>1</v>
      </c>
      <c r="L118" s="38">
        <f>VLOOKUP(K118,Reinigungstage!A10:B31,2,FALSE)</f>
        <v>40.71</v>
      </c>
      <c r="M118" s="38">
        <f t="shared" ref="M118:M149" si="27">ROUND(IF(L118=0,0,L118*G118),2)</f>
        <v>663.17</v>
      </c>
      <c r="N118" s="92">
        <f t="shared" ref="N118:N149" si="28">VLOOKUP(J118,$G$4:$H$14,2,FALSE)</f>
        <v>0</v>
      </c>
      <c r="O118" s="38">
        <f ca="1">IF('SVS UnterhaltsRG'!$H$61="",0,'SVS UnterhaltsRG'!$H$61)</f>
        <v>0</v>
      </c>
      <c r="P118" s="38">
        <f t="shared" ref="P118:P149" si="29">ROUND(IF(N118=0,0,M118/N118),2)</f>
        <v>0</v>
      </c>
      <c r="Q118" s="38">
        <f t="shared" ref="Q118:Q149" ca="1" si="30">IF(M118=0,0,IF(O118="",0,ROUND(P118*O118,2)))</f>
        <v>0</v>
      </c>
      <c r="R118" s="38">
        <f t="shared" ref="R118:R149" si="31">ROUND(IF(P118=0,0,P118/L118),2)</f>
        <v>0</v>
      </c>
      <c r="S118" s="38">
        <f t="shared" ref="S118:S149" ca="1" si="32">ROUND(IF(Q118=0,0,Q118/L118),2)</f>
        <v>0</v>
      </c>
      <c r="T118" s="16" t="str">
        <f t="shared" ref="T118:T149" si="33">IF(M118=0,"",IF(N118=0,"Leistungswert eintragen",IF(O118=0,"SVS prüfen","")))</f>
        <v>Leistungswert eintragen</v>
      </c>
      <c r="U118" s="16">
        <f t="shared" ref="U118:U149" si="34">VLOOKUP(J118,$U$4:$V$14,2,FALSE)</f>
        <v>215</v>
      </c>
      <c r="V118" s="16">
        <f t="shared" ref="V118:V149" si="35">IF(M118=0,0,IF(U118&lt;N118,1,IF(U118&gt;=N118,0,"")))</f>
        <v>0</v>
      </c>
    </row>
    <row r="119" spans="1:22" ht="15" customHeight="1" x14ac:dyDescent="0.2">
      <c r="A119" s="78">
        <v>98</v>
      </c>
      <c r="B119" s="88">
        <v>119</v>
      </c>
      <c r="C119" s="89" t="s">
        <v>276</v>
      </c>
      <c r="D119" s="89"/>
      <c r="E119" s="89" t="s">
        <v>233</v>
      </c>
      <c r="F119" s="89" t="s">
        <v>229</v>
      </c>
      <c r="G119" s="90">
        <v>67.33</v>
      </c>
      <c r="H119" s="90"/>
      <c r="I119" s="90"/>
      <c r="J119" s="78" t="s">
        <v>308</v>
      </c>
      <c r="K119" s="90">
        <v>3</v>
      </c>
      <c r="L119" s="38">
        <f>VLOOKUP(K119,Reinigungstage!A10:B31,2,FALSE)</f>
        <v>117.6</v>
      </c>
      <c r="M119" s="38">
        <f t="shared" si="27"/>
        <v>7918.01</v>
      </c>
      <c r="N119" s="92">
        <f t="shared" si="28"/>
        <v>0</v>
      </c>
      <c r="O119" s="38">
        <f ca="1">IF('SVS UnterhaltsRG'!$H$61="",0,'SVS UnterhaltsRG'!$H$61)</f>
        <v>0</v>
      </c>
      <c r="P119" s="38">
        <f t="shared" si="29"/>
        <v>0</v>
      </c>
      <c r="Q119" s="38">
        <f t="shared" ca="1" si="30"/>
        <v>0</v>
      </c>
      <c r="R119" s="38">
        <f t="shared" si="31"/>
        <v>0</v>
      </c>
      <c r="S119" s="38">
        <f t="shared" ca="1" si="32"/>
        <v>0</v>
      </c>
      <c r="T119" s="16" t="str">
        <f t="shared" si="33"/>
        <v>Leistungswert eintragen</v>
      </c>
      <c r="U119" s="16">
        <f t="shared" si="34"/>
        <v>240</v>
      </c>
      <c r="V119" s="16">
        <f t="shared" si="35"/>
        <v>0</v>
      </c>
    </row>
    <row r="120" spans="1:22" ht="15" customHeight="1" x14ac:dyDescent="0.2">
      <c r="A120" s="78">
        <v>99</v>
      </c>
      <c r="B120" s="88">
        <v>121</v>
      </c>
      <c r="C120" s="89" t="s">
        <v>276</v>
      </c>
      <c r="D120" s="89"/>
      <c r="E120" s="89" t="s">
        <v>281</v>
      </c>
      <c r="F120" s="89" t="s">
        <v>244</v>
      </c>
      <c r="G120" s="90">
        <v>46.48</v>
      </c>
      <c r="H120" s="90"/>
      <c r="I120" s="90"/>
      <c r="J120" s="78" t="s">
        <v>310</v>
      </c>
      <c r="K120" s="90">
        <v>0</v>
      </c>
      <c r="L120" s="38">
        <f>VLOOKUP(K120,Reinigungstage!A10:B31,2,FALSE)</f>
        <v>0</v>
      </c>
      <c r="M120" s="38">
        <f t="shared" si="27"/>
        <v>0</v>
      </c>
      <c r="N120" s="92">
        <f t="shared" si="28"/>
        <v>0</v>
      </c>
      <c r="O120" s="38">
        <f ca="1">IF('SVS UnterhaltsRG'!$H$61="",0,'SVS UnterhaltsRG'!$H$61)</f>
        <v>0</v>
      </c>
      <c r="P120" s="38">
        <f t="shared" si="29"/>
        <v>0</v>
      </c>
      <c r="Q120" s="38">
        <f t="shared" si="30"/>
        <v>0</v>
      </c>
      <c r="R120" s="38">
        <f t="shared" si="31"/>
        <v>0</v>
      </c>
      <c r="S120" s="38">
        <f t="shared" si="32"/>
        <v>0</v>
      </c>
      <c r="T120" s="16" t="str">
        <f t="shared" si="33"/>
        <v/>
      </c>
      <c r="U120" s="16">
        <f t="shared" si="34"/>
        <v>300</v>
      </c>
      <c r="V120" s="16">
        <f t="shared" si="35"/>
        <v>0</v>
      </c>
    </row>
    <row r="121" spans="1:22" ht="15" customHeight="1" x14ac:dyDescent="0.2">
      <c r="A121" s="78">
        <v>100</v>
      </c>
      <c r="B121" s="88">
        <v>122</v>
      </c>
      <c r="C121" s="89" t="s">
        <v>276</v>
      </c>
      <c r="D121" s="89"/>
      <c r="E121" s="89" t="s">
        <v>235</v>
      </c>
      <c r="F121" s="89" t="s">
        <v>227</v>
      </c>
      <c r="G121" s="90">
        <v>15.16</v>
      </c>
      <c r="H121" s="90"/>
      <c r="I121" s="90"/>
      <c r="J121" s="78" t="s">
        <v>312</v>
      </c>
      <c r="K121" s="90">
        <v>5</v>
      </c>
      <c r="L121" s="38">
        <f>VLOOKUP(K121,Reinigungstage!A10:B31,2,FALSE)</f>
        <v>196</v>
      </c>
      <c r="M121" s="38">
        <f t="shared" si="27"/>
        <v>2971.36</v>
      </c>
      <c r="N121" s="92">
        <f t="shared" si="28"/>
        <v>0</v>
      </c>
      <c r="O121" s="38">
        <f ca="1">IF('SVS UnterhaltsRG'!$H$61="",0,'SVS UnterhaltsRG'!$H$61)</f>
        <v>0</v>
      </c>
      <c r="P121" s="38">
        <f t="shared" si="29"/>
        <v>0</v>
      </c>
      <c r="Q121" s="38">
        <f t="shared" ca="1" si="30"/>
        <v>0</v>
      </c>
      <c r="R121" s="38">
        <f t="shared" si="31"/>
        <v>0</v>
      </c>
      <c r="S121" s="38">
        <f t="shared" ca="1" si="32"/>
        <v>0</v>
      </c>
      <c r="T121" s="16" t="str">
        <f t="shared" si="33"/>
        <v>Leistungswert eintragen</v>
      </c>
      <c r="U121" s="16">
        <f t="shared" si="34"/>
        <v>75</v>
      </c>
      <c r="V121" s="16">
        <f t="shared" si="35"/>
        <v>0</v>
      </c>
    </row>
    <row r="122" spans="1:22" ht="15" customHeight="1" x14ac:dyDescent="0.2">
      <c r="A122" s="78">
        <v>101</v>
      </c>
      <c r="B122" s="88">
        <v>123</v>
      </c>
      <c r="C122" s="89" t="s">
        <v>276</v>
      </c>
      <c r="D122" s="89"/>
      <c r="E122" s="89" t="s">
        <v>237</v>
      </c>
      <c r="F122" s="89" t="s">
        <v>227</v>
      </c>
      <c r="G122" s="90">
        <v>14.81</v>
      </c>
      <c r="H122" s="90"/>
      <c r="I122" s="90"/>
      <c r="J122" s="78" t="s">
        <v>312</v>
      </c>
      <c r="K122" s="90">
        <v>5</v>
      </c>
      <c r="L122" s="38">
        <f>VLOOKUP(K122,Reinigungstage!A10:B31,2,FALSE)</f>
        <v>196</v>
      </c>
      <c r="M122" s="38">
        <f t="shared" si="27"/>
        <v>2902.76</v>
      </c>
      <c r="N122" s="92">
        <f t="shared" si="28"/>
        <v>0</v>
      </c>
      <c r="O122" s="38">
        <f ca="1">IF('SVS UnterhaltsRG'!$H$61="",0,'SVS UnterhaltsRG'!$H$61)</f>
        <v>0</v>
      </c>
      <c r="P122" s="38">
        <f t="shared" si="29"/>
        <v>0</v>
      </c>
      <c r="Q122" s="38">
        <f t="shared" ca="1" si="30"/>
        <v>0</v>
      </c>
      <c r="R122" s="38">
        <f t="shared" si="31"/>
        <v>0</v>
      </c>
      <c r="S122" s="38">
        <f t="shared" ca="1" si="32"/>
        <v>0</v>
      </c>
      <c r="T122" s="16" t="str">
        <f t="shared" si="33"/>
        <v>Leistungswert eintragen</v>
      </c>
      <c r="U122" s="16">
        <f t="shared" si="34"/>
        <v>75</v>
      </c>
      <c r="V122" s="16">
        <f t="shared" si="35"/>
        <v>0</v>
      </c>
    </row>
    <row r="123" spans="1:22" ht="21" x14ac:dyDescent="0.2">
      <c r="A123" s="78">
        <v>102</v>
      </c>
      <c r="B123" s="88" t="s">
        <v>208</v>
      </c>
      <c r="C123" s="89" t="s">
        <v>276</v>
      </c>
      <c r="D123" s="89"/>
      <c r="E123" s="89" t="s">
        <v>282</v>
      </c>
      <c r="F123" s="89" t="s">
        <v>229</v>
      </c>
      <c r="G123" s="90">
        <v>16.8</v>
      </c>
      <c r="H123" s="90"/>
      <c r="I123" s="90"/>
      <c r="J123" s="78" t="s">
        <v>310</v>
      </c>
      <c r="K123" s="90">
        <v>1</v>
      </c>
      <c r="L123" s="38">
        <f>VLOOKUP(K123,Reinigungstage!A10:B31,2,FALSE)</f>
        <v>40.71</v>
      </c>
      <c r="M123" s="38">
        <f t="shared" si="27"/>
        <v>683.93</v>
      </c>
      <c r="N123" s="92">
        <f t="shared" si="28"/>
        <v>0</v>
      </c>
      <c r="O123" s="38">
        <f ca="1">IF('SVS UnterhaltsRG'!$H$61="",0,'SVS UnterhaltsRG'!$H$61)</f>
        <v>0</v>
      </c>
      <c r="P123" s="38">
        <f t="shared" si="29"/>
        <v>0</v>
      </c>
      <c r="Q123" s="38">
        <f t="shared" ca="1" si="30"/>
        <v>0</v>
      </c>
      <c r="R123" s="38">
        <f t="shared" si="31"/>
        <v>0</v>
      </c>
      <c r="S123" s="38">
        <f t="shared" ca="1" si="32"/>
        <v>0</v>
      </c>
      <c r="T123" s="16" t="str">
        <f t="shared" si="33"/>
        <v>Leistungswert eintragen</v>
      </c>
      <c r="U123" s="16">
        <f t="shared" si="34"/>
        <v>300</v>
      </c>
      <c r="V123" s="16">
        <f t="shared" si="35"/>
        <v>0</v>
      </c>
    </row>
    <row r="124" spans="1:22" ht="15" customHeight="1" x14ac:dyDescent="0.2">
      <c r="A124" s="78">
        <v>103</v>
      </c>
      <c r="B124" s="88">
        <v>125</v>
      </c>
      <c r="C124" s="89" t="s">
        <v>276</v>
      </c>
      <c r="D124" s="89"/>
      <c r="E124" s="89" t="s">
        <v>283</v>
      </c>
      <c r="F124" s="89" t="s">
        <v>229</v>
      </c>
      <c r="G124" s="90">
        <v>11.5</v>
      </c>
      <c r="H124" s="90"/>
      <c r="I124" s="90"/>
      <c r="J124" s="78" t="s">
        <v>314</v>
      </c>
      <c r="K124" s="90">
        <v>1</v>
      </c>
      <c r="L124" s="38">
        <f>VLOOKUP(K124,Reinigungstage!A10:B31,2,FALSE)</f>
        <v>40.71</v>
      </c>
      <c r="M124" s="38">
        <f t="shared" si="27"/>
        <v>468.17</v>
      </c>
      <c r="N124" s="92">
        <f t="shared" si="28"/>
        <v>0</v>
      </c>
      <c r="O124" s="38">
        <f ca="1">IF('SVS UnterhaltsRG'!$H$61="",0,'SVS UnterhaltsRG'!$H$61)</f>
        <v>0</v>
      </c>
      <c r="P124" s="38">
        <f t="shared" si="29"/>
        <v>0</v>
      </c>
      <c r="Q124" s="38">
        <f t="shared" ca="1" si="30"/>
        <v>0</v>
      </c>
      <c r="R124" s="38">
        <f t="shared" si="31"/>
        <v>0</v>
      </c>
      <c r="S124" s="38">
        <f t="shared" ca="1" si="32"/>
        <v>0</v>
      </c>
      <c r="T124" s="16" t="str">
        <f t="shared" si="33"/>
        <v>Leistungswert eintragen</v>
      </c>
      <c r="U124" s="16">
        <f t="shared" si="34"/>
        <v>195</v>
      </c>
      <c r="V124" s="16">
        <f t="shared" si="35"/>
        <v>0</v>
      </c>
    </row>
    <row r="125" spans="1:22" ht="15" customHeight="1" x14ac:dyDescent="0.2">
      <c r="A125" s="78">
        <v>104</v>
      </c>
      <c r="B125" s="88">
        <v>126</v>
      </c>
      <c r="C125" s="89" t="s">
        <v>276</v>
      </c>
      <c r="D125" s="89"/>
      <c r="E125" s="89" t="s">
        <v>284</v>
      </c>
      <c r="F125" s="89" t="s">
        <v>285</v>
      </c>
      <c r="G125" s="90">
        <v>48.74</v>
      </c>
      <c r="H125" s="90"/>
      <c r="I125" s="90"/>
      <c r="J125" s="78" t="s">
        <v>309</v>
      </c>
      <c r="K125" s="90">
        <v>1</v>
      </c>
      <c r="L125" s="38">
        <f>VLOOKUP(K125,Reinigungstage!A10:B31,2,FALSE)</f>
        <v>40.71</v>
      </c>
      <c r="M125" s="38">
        <f t="shared" si="27"/>
        <v>1984.21</v>
      </c>
      <c r="N125" s="92">
        <f t="shared" si="28"/>
        <v>0</v>
      </c>
      <c r="O125" s="38">
        <f ca="1">IF('SVS UnterhaltsRG'!$H$61="",0,'SVS UnterhaltsRG'!$H$61)</f>
        <v>0</v>
      </c>
      <c r="P125" s="38">
        <f t="shared" si="29"/>
        <v>0</v>
      </c>
      <c r="Q125" s="38">
        <f t="shared" ca="1" si="30"/>
        <v>0</v>
      </c>
      <c r="R125" s="38">
        <f t="shared" si="31"/>
        <v>0</v>
      </c>
      <c r="S125" s="38">
        <f t="shared" ca="1" si="32"/>
        <v>0</v>
      </c>
      <c r="T125" s="16" t="str">
        <f t="shared" si="33"/>
        <v>Leistungswert eintragen</v>
      </c>
      <c r="U125" s="16">
        <f t="shared" si="34"/>
        <v>215</v>
      </c>
      <c r="V125" s="16">
        <f t="shared" si="35"/>
        <v>0</v>
      </c>
    </row>
    <row r="126" spans="1:22" ht="15" customHeight="1" x14ac:dyDescent="0.2">
      <c r="A126" s="78">
        <v>105</v>
      </c>
      <c r="B126" s="88">
        <v>131</v>
      </c>
      <c r="C126" s="89" t="s">
        <v>276</v>
      </c>
      <c r="D126" s="89"/>
      <c r="E126" s="89" t="s">
        <v>286</v>
      </c>
      <c r="F126" s="89" t="s">
        <v>227</v>
      </c>
      <c r="G126" s="90">
        <v>336.16</v>
      </c>
      <c r="H126" s="90"/>
      <c r="I126" s="90"/>
      <c r="J126" s="78" t="s">
        <v>315</v>
      </c>
      <c r="K126" s="90">
        <v>5</v>
      </c>
      <c r="L126" s="38">
        <f>VLOOKUP(K126,Reinigungstage!A10:B31,2,FALSE)</f>
        <v>196</v>
      </c>
      <c r="M126" s="38">
        <f t="shared" si="27"/>
        <v>65887.360000000001</v>
      </c>
      <c r="N126" s="92">
        <f t="shared" si="28"/>
        <v>0</v>
      </c>
      <c r="O126" s="38">
        <f ca="1">IF('SVS UnterhaltsRG'!$H$61="",0,'SVS UnterhaltsRG'!$H$61)</f>
        <v>0</v>
      </c>
      <c r="P126" s="38">
        <f t="shared" si="29"/>
        <v>0</v>
      </c>
      <c r="Q126" s="38">
        <f t="shared" ca="1" si="30"/>
        <v>0</v>
      </c>
      <c r="R126" s="38">
        <f t="shared" si="31"/>
        <v>0</v>
      </c>
      <c r="S126" s="38">
        <f t="shared" ca="1" si="32"/>
        <v>0</v>
      </c>
      <c r="T126" s="16" t="str">
        <f t="shared" si="33"/>
        <v>Leistungswert eintragen</v>
      </c>
      <c r="U126" s="16">
        <f t="shared" si="34"/>
        <v>115</v>
      </c>
      <c r="V126" s="16">
        <f t="shared" si="35"/>
        <v>0</v>
      </c>
    </row>
    <row r="127" spans="1:22" ht="15" customHeight="1" x14ac:dyDescent="0.2">
      <c r="A127" s="78">
        <v>106</v>
      </c>
      <c r="B127" s="88">
        <v>132</v>
      </c>
      <c r="C127" s="89" t="s">
        <v>276</v>
      </c>
      <c r="D127" s="89"/>
      <c r="E127" s="89" t="s">
        <v>287</v>
      </c>
      <c r="F127" s="89" t="s">
        <v>288</v>
      </c>
      <c r="G127" s="90">
        <v>18.920000000000002</v>
      </c>
      <c r="H127" s="90"/>
      <c r="I127" s="90"/>
      <c r="J127" s="78" t="s">
        <v>315</v>
      </c>
      <c r="K127" s="90">
        <v>0</v>
      </c>
      <c r="L127" s="38">
        <f>VLOOKUP(K127,Reinigungstage!A10:B31,2,FALSE)</f>
        <v>0</v>
      </c>
      <c r="M127" s="38">
        <f t="shared" si="27"/>
        <v>0</v>
      </c>
      <c r="N127" s="92">
        <f t="shared" si="28"/>
        <v>0</v>
      </c>
      <c r="O127" s="38">
        <f ca="1">IF('SVS UnterhaltsRG'!$H$61="",0,'SVS UnterhaltsRG'!$H$61)</f>
        <v>0</v>
      </c>
      <c r="P127" s="38">
        <f t="shared" si="29"/>
        <v>0</v>
      </c>
      <c r="Q127" s="38">
        <f t="shared" si="30"/>
        <v>0</v>
      </c>
      <c r="R127" s="38">
        <f t="shared" si="31"/>
        <v>0</v>
      </c>
      <c r="S127" s="38">
        <f t="shared" si="32"/>
        <v>0</v>
      </c>
      <c r="T127" s="16" t="str">
        <f t="shared" si="33"/>
        <v/>
      </c>
      <c r="U127" s="16">
        <f t="shared" si="34"/>
        <v>115</v>
      </c>
      <c r="V127" s="16">
        <f t="shared" si="35"/>
        <v>0</v>
      </c>
    </row>
    <row r="128" spans="1:22" ht="15" customHeight="1" x14ac:dyDescent="0.2">
      <c r="A128" s="78">
        <v>107</v>
      </c>
      <c r="B128" s="88">
        <v>133</v>
      </c>
      <c r="C128" s="89" t="s">
        <v>276</v>
      </c>
      <c r="D128" s="89"/>
      <c r="E128" s="89" t="s">
        <v>289</v>
      </c>
      <c r="F128" s="89" t="s">
        <v>288</v>
      </c>
      <c r="G128" s="90">
        <v>37.020000000000003</v>
      </c>
      <c r="H128" s="90"/>
      <c r="I128" s="90"/>
      <c r="J128" s="78" t="s">
        <v>315</v>
      </c>
      <c r="K128" s="90">
        <v>0</v>
      </c>
      <c r="L128" s="38">
        <f>VLOOKUP(K128,Reinigungstage!A10:B31,2,FALSE)</f>
        <v>0</v>
      </c>
      <c r="M128" s="38">
        <f t="shared" si="27"/>
        <v>0</v>
      </c>
      <c r="N128" s="92">
        <f t="shared" si="28"/>
        <v>0</v>
      </c>
      <c r="O128" s="38">
        <f ca="1">IF('SVS UnterhaltsRG'!$H$61="",0,'SVS UnterhaltsRG'!$H$61)</f>
        <v>0</v>
      </c>
      <c r="P128" s="38">
        <f t="shared" si="29"/>
        <v>0</v>
      </c>
      <c r="Q128" s="38">
        <f t="shared" si="30"/>
        <v>0</v>
      </c>
      <c r="R128" s="38">
        <f t="shared" si="31"/>
        <v>0</v>
      </c>
      <c r="S128" s="38">
        <f t="shared" si="32"/>
        <v>0</v>
      </c>
      <c r="T128" s="16" t="str">
        <f t="shared" si="33"/>
        <v/>
      </c>
      <c r="U128" s="16">
        <f t="shared" si="34"/>
        <v>115</v>
      </c>
      <c r="V128" s="16">
        <f t="shared" si="35"/>
        <v>0</v>
      </c>
    </row>
    <row r="129" spans="1:22" ht="15" customHeight="1" x14ac:dyDescent="0.2">
      <c r="A129" s="78">
        <v>108</v>
      </c>
      <c r="B129" s="88">
        <v>134</v>
      </c>
      <c r="C129" s="89" t="s">
        <v>276</v>
      </c>
      <c r="D129" s="89"/>
      <c r="E129" s="89" t="s">
        <v>290</v>
      </c>
      <c r="F129" s="89" t="s">
        <v>288</v>
      </c>
      <c r="G129" s="90">
        <v>4.5999999999999996</v>
      </c>
      <c r="H129" s="90"/>
      <c r="I129" s="90"/>
      <c r="J129" s="78" t="s">
        <v>315</v>
      </c>
      <c r="K129" s="90">
        <v>5</v>
      </c>
      <c r="L129" s="38">
        <f>VLOOKUP(K129,Reinigungstage!A10:B31,2,FALSE)</f>
        <v>196</v>
      </c>
      <c r="M129" s="38">
        <f t="shared" si="27"/>
        <v>901.6</v>
      </c>
      <c r="N129" s="92">
        <f t="shared" si="28"/>
        <v>0</v>
      </c>
      <c r="O129" s="38">
        <f ca="1">IF('SVS UnterhaltsRG'!$H$61="",0,'SVS UnterhaltsRG'!$H$61)</f>
        <v>0</v>
      </c>
      <c r="P129" s="38">
        <f t="shared" si="29"/>
        <v>0</v>
      </c>
      <c r="Q129" s="38">
        <f t="shared" ca="1" si="30"/>
        <v>0</v>
      </c>
      <c r="R129" s="38">
        <f t="shared" si="31"/>
        <v>0</v>
      </c>
      <c r="S129" s="38">
        <f t="shared" ca="1" si="32"/>
        <v>0</v>
      </c>
      <c r="T129" s="16" t="str">
        <f t="shared" si="33"/>
        <v>Leistungswert eintragen</v>
      </c>
      <c r="U129" s="16">
        <f t="shared" si="34"/>
        <v>115</v>
      </c>
      <c r="V129" s="16">
        <f t="shared" si="35"/>
        <v>0</v>
      </c>
    </row>
    <row r="130" spans="1:22" ht="15" customHeight="1" x14ac:dyDescent="0.2">
      <c r="A130" s="78">
        <v>109</v>
      </c>
      <c r="B130" s="88">
        <v>135</v>
      </c>
      <c r="C130" s="89" t="s">
        <v>276</v>
      </c>
      <c r="D130" s="89"/>
      <c r="E130" s="89" t="s">
        <v>291</v>
      </c>
      <c r="F130" s="89" t="s">
        <v>227</v>
      </c>
      <c r="G130" s="90">
        <v>4.29</v>
      </c>
      <c r="H130" s="90"/>
      <c r="I130" s="90"/>
      <c r="J130" s="78" t="s">
        <v>316</v>
      </c>
      <c r="K130" s="90">
        <v>5</v>
      </c>
      <c r="L130" s="38">
        <f>VLOOKUP(K130,Reinigungstage!A10:B31,2,FALSE)</f>
        <v>196</v>
      </c>
      <c r="M130" s="38">
        <f t="shared" si="27"/>
        <v>840.84</v>
      </c>
      <c r="N130" s="92">
        <f t="shared" si="28"/>
        <v>0</v>
      </c>
      <c r="O130" s="38">
        <f ca="1">IF('SVS UnterhaltsRG'!$H$61="",0,'SVS UnterhaltsRG'!$H$61)</f>
        <v>0</v>
      </c>
      <c r="P130" s="38">
        <f t="shared" si="29"/>
        <v>0</v>
      </c>
      <c r="Q130" s="38">
        <f t="shared" ca="1" si="30"/>
        <v>0</v>
      </c>
      <c r="R130" s="38">
        <f t="shared" si="31"/>
        <v>0</v>
      </c>
      <c r="S130" s="38">
        <f t="shared" ca="1" si="32"/>
        <v>0</v>
      </c>
      <c r="T130" s="16" t="str">
        <f t="shared" si="33"/>
        <v>Leistungswert eintragen</v>
      </c>
      <c r="U130" s="16">
        <f t="shared" si="34"/>
        <v>220</v>
      </c>
      <c r="V130" s="16">
        <f t="shared" si="35"/>
        <v>0</v>
      </c>
    </row>
    <row r="131" spans="1:22" ht="15" customHeight="1" x14ac:dyDescent="0.2">
      <c r="A131" s="78">
        <v>110</v>
      </c>
      <c r="B131" s="88">
        <v>136</v>
      </c>
      <c r="C131" s="89" t="s">
        <v>276</v>
      </c>
      <c r="D131" s="89"/>
      <c r="E131" s="89" t="s">
        <v>292</v>
      </c>
      <c r="F131" s="89" t="s">
        <v>227</v>
      </c>
      <c r="G131" s="90">
        <v>3.61</v>
      </c>
      <c r="H131" s="90"/>
      <c r="I131" s="90"/>
      <c r="J131" s="78" t="s">
        <v>312</v>
      </c>
      <c r="K131" s="90">
        <v>5</v>
      </c>
      <c r="L131" s="38">
        <f>VLOOKUP(K131,Reinigungstage!A10:B31,2,FALSE)</f>
        <v>196</v>
      </c>
      <c r="M131" s="38">
        <f t="shared" si="27"/>
        <v>707.56</v>
      </c>
      <c r="N131" s="92">
        <f t="shared" si="28"/>
        <v>0</v>
      </c>
      <c r="O131" s="38">
        <f ca="1">IF('SVS UnterhaltsRG'!$H$61="",0,'SVS UnterhaltsRG'!$H$61)</f>
        <v>0</v>
      </c>
      <c r="P131" s="38">
        <f t="shared" si="29"/>
        <v>0</v>
      </c>
      <c r="Q131" s="38">
        <f t="shared" ca="1" si="30"/>
        <v>0</v>
      </c>
      <c r="R131" s="38">
        <f t="shared" si="31"/>
        <v>0</v>
      </c>
      <c r="S131" s="38">
        <f t="shared" ca="1" si="32"/>
        <v>0</v>
      </c>
      <c r="T131" s="16" t="str">
        <f t="shared" si="33"/>
        <v>Leistungswert eintragen</v>
      </c>
      <c r="U131" s="16">
        <f t="shared" si="34"/>
        <v>75</v>
      </c>
      <c r="V131" s="16">
        <f t="shared" si="35"/>
        <v>0</v>
      </c>
    </row>
    <row r="132" spans="1:22" ht="15" customHeight="1" x14ac:dyDescent="0.2">
      <c r="A132" s="78">
        <v>111</v>
      </c>
      <c r="B132" s="88">
        <v>137</v>
      </c>
      <c r="C132" s="89" t="s">
        <v>276</v>
      </c>
      <c r="D132" s="89"/>
      <c r="E132" s="89" t="s">
        <v>293</v>
      </c>
      <c r="F132" s="89" t="s">
        <v>229</v>
      </c>
      <c r="G132" s="90">
        <v>24.59</v>
      </c>
      <c r="H132" s="90"/>
      <c r="I132" s="90"/>
      <c r="J132" s="78" t="s">
        <v>310</v>
      </c>
      <c r="K132" s="90">
        <v>0</v>
      </c>
      <c r="L132" s="38">
        <f>VLOOKUP(K132,Reinigungstage!A10:B31,2,FALSE)</f>
        <v>0</v>
      </c>
      <c r="M132" s="38">
        <f t="shared" si="27"/>
        <v>0</v>
      </c>
      <c r="N132" s="92">
        <f t="shared" si="28"/>
        <v>0</v>
      </c>
      <c r="O132" s="38">
        <f ca="1">IF('SVS UnterhaltsRG'!$H$61="",0,'SVS UnterhaltsRG'!$H$61)</f>
        <v>0</v>
      </c>
      <c r="P132" s="38">
        <f t="shared" si="29"/>
        <v>0</v>
      </c>
      <c r="Q132" s="38">
        <f t="shared" si="30"/>
        <v>0</v>
      </c>
      <c r="R132" s="38">
        <f t="shared" si="31"/>
        <v>0</v>
      </c>
      <c r="S132" s="38">
        <f t="shared" si="32"/>
        <v>0</v>
      </c>
      <c r="T132" s="16" t="str">
        <f t="shared" si="33"/>
        <v/>
      </c>
      <c r="U132" s="16">
        <f t="shared" si="34"/>
        <v>300</v>
      </c>
      <c r="V132" s="16">
        <f t="shared" si="35"/>
        <v>0</v>
      </c>
    </row>
    <row r="133" spans="1:22" ht="24.95" customHeight="1" x14ac:dyDescent="0.2">
      <c r="A133" s="78">
        <v>112</v>
      </c>
      <c r="B133" s="88">
        <v>141</v>
      </c>
      <c r="C133" s="89" t="s">
        <v>276</v>
      </c>
      <c r="D133" s="128" t="s">
        <v>422</v>
      </c>
      <c r="E133" s="89" t="s">
        <v>294</v>
      </c>
      <c r="F133" s="89" t="s">
        <v>295</v>
      </c>
      <c r="G133" s="90">
        <v>405</v>
      </c>
      <c r="H133" s="90"/>
      <c r="I133" s="90"/>
      <c r="J133" s="78" t="s">
        <v>317</v>
      </c>
      <c r="K133" s="90">
        <v>5</v>
      </c>
      <c r="L133" s="38">
        <f>VLOOKUP(K133,Reinigungstage!A10:B31,2,FALSE)</f>
        <v>196</v>
      </c>
      <c r="M133" s="38">
        <f t="shared" si="27"/>
        <v>79380</v>
      </c>
      <c r="N133" s="92">
        <f t="shared" si="28"/>
        <v>0</v>
      </c>
      <c r="O133" s="38">
        <f ca="1">IF('SVS UnterhaltsRG'!$M$27="",0,'SVS UnterhaltsRG'!$M$27)</f>
        <v>0</v>
      </c>
      <c r="P133" s="38">
        <f t="shared" si="29"/>
        <v>0</v>
      </c>
      <c r="Q133" s="38">
        <f t="shared" ca="1" si="30"/>
        <v>0</v>
      </c>
      <c r="R133" s="38">
        <f t="shared" si="31"/>
        <v>0</v>
      </c>
      <c r="S133" s="38">
        <f t="shared" ca="1" si="32"/>
        <v>0</v>
      </c>
      <c r="T133" s="16" t="str">
        <f t="shared" si="33"/>
        <v>Leistungswert eintragen</v>
      </c>
      <c r="U133" s="16">
        <f t="shared" si="34"/>
        <v>450</v>
      </c>
      <c r="V133" s="16">
        <f t="shared" si="35"/>
        <v>0</v>
      </c>
    </row>
    <row r="134" spans="1:22" ht="15" customHeight="1" x14ac:dyDescent="0.2">
      <c r="A134" s="78">
        <v>113</v>
      </c>
      <c r="B134" s="88">
        <v>142</v>
      </c>
      <c r="C134" s="89" t="s">
        <v>276</v>
      </c>
      <c r="D134" s="89"/>
      <c r="E134" s="89" t="s">
        <v>296</v>
      </c>
      <c r="F134" s="89" t="s">
        <v>295</v>
      </c>
      <c r="G134" s="90">
        <v>37.46</v>
      </c>
      <c r="H134" s="90"/>
      <c r="I134" s="90"/>
      <c r="J134" s="78" t="s">
        <v>310</v>
      </c>
      <c r="K134" s="78" t="s">
        <v>154</v>
      </c>
      <c r="L134" s="38">
        <f>VLOOKUP(K134,Reinigungstage!A10:B31,2,FALSE)</f>
        <v>11</v>
      </c>
      <c r="M134" s="38">
        <f t="shared" si="27"/>
        <v>412.06</v>
      </c>
      <c r="N134" s="92">
        <f t="shared" si="28"/>
        <v>0</v>
      </c>
      <c r="O134" s="38">
        <f ca="1">IF('SVS UnterhaltsRG'!$H$61="",0,'SVS UnterhaltsRG'!$H$61)</f>
        <v>0</v>
      </c>
      <c r="P134" s="38">
        <f t="shared" si="29"/>
        <v>0</v>
      </c>
      <c r="Q134" s="38">
        <f t="shared" ca="1" si="30"/>
        <v>0</v>
      </c>
      <c r="R134" s="38">
        <f t="shared" si="31"/>
        <v>0</v>
      </c>
      <c r="S134" s="38">
        <f t="shared" ca="1" si="32"/>
        <v>0</v>
      </c>
      <c r="T134" s="16" t="str">
        <f t="shared" si="33"/>
        <v>Leistungswert eintragen</v>
      </c>
      <c r="U134" s="16">
        <f t="shared" si="34"/>
        <v>300</v>
      </c>
      <c r="V134" s="16">
        <f t="shared" si="35"/>
        <v>0</v>
      </c>
    </row>
    <row r="135" spans="1:22" ht="15" customHeight="1" x14ac:dyDescent="0.2">
      <c r="A135" s="78">
        <v>114</v>
      </c>
      <c r="B135" s="88">
        <v>143</v>
      </c>
      <c r="C135" s="89" t="s">
        <v>276</v>
      </c>
      <c r="D135" s="89"/>
      <c r="E135" s="89" t="s">
        <v>296</v>
      </c>
      <c r="F135" s="89" t="s">
        <v>295</v>
      </c>
      <c r="G135" s="90">
        <v>28.25</v>
      </c>
      <c r="H135" s="90"/>
      <c r="I135" s="90"/>
      <c r="J135" s="78" t="s">
        <v>310</v>
      </c>
      <c r="K135" s="78" t="s">
        <v>154</v>
      </c>
      <c r="L135" s="38">
        <f>VLOOKUP(K135,Reinigungstage!A10:B31,2,FALSE)</f>
        <v>11</v>
      </c>
      <c r="M135" s="38">
        <f t="shared" si="27"/>
        <v>310.75</v>
      </c>
      <c r="N135" s="92">
        <f t="shared" si="28"/>
        <v>0</v>
      </c>
      <c r="O135" s="38">
        <f ca="1">IF('SVS UnterhaltsRG'!$H$61="",0,'SVS UnterhaltsRG'!$H$61)</f>
        <v>0</v>
      </c>
      <c r="P135" s="38">
        <f t="shared" si="29"/>
        <v>0</v>
      </c>
      <c r="Q135" s="38">
        <f t="shared" ca="1" si="30"/>
        <v>0</v>
      </c>
      <c r="R135" s="38">
        <f t="shared" si="31"/>
        <v>0</v>
      </c>
      <c r="S135" s="38">
        <f t="shared" ca="1" si="32"/>
        <v>0</v>
      </c>
      <c r="T135" s="16" t="str">
        <f t="shared" si="33"/>
        <v>Leistungswert eintragen</v>
      </c>
      <c r="U135" s="16">
        <f t="shared" si="34"/>
        <v>300</v>
      </c>
      <c r="V135" s="16">
        <f t="shared" si="35"/>
        <v>0</v>
      </c>
    </row>
    <row r="136" spans="1:22" ht="15" customHeight="1" x14ac:dyDescent="0.2">
      <c r="A136" s="78">
        <v>115</v>
      </c>
      <c r="B136" s="88">
        <v>151</v>
      </c>
      <c r="C136" s="89" t="s">
        <v>276</v>
      </c>
      <c r="D136" s="89"/>
      <c r="E136" s="89" t="s">
        <v>297</v>
      </c>
      <c r="F136" s="89" t="s">
        <v>227</v>
      </c>
      <c r="G136" s="90">
        <v>11.88</v>
      </c>
      <c r="H136" s="90"/>
      <c r="I136" s="90"/>
      <c r="J136" s="78" t="s">
        <v>312</v>
      </c>
      <c r="K136" s="90">
        <v>2</v>
      </c>
      <c r="L136" s="38">
        <f>VLOOKUP(K136,Reinigungstage!A10:B31,2,FALSE)</f>
        <v>81.44</v>
      </c>
      <c r="M136" s="38">
        <f t="shared" si="27"/>
        <v>967.51</v>
      </c>
      <c r="N136" s="92">
        <f t="shared" si="28"/>
        <v>0</v>
      </c>
      <c r="O136" s="38">
        <f ca="1">IF('SVS UnterhaltsRG'!$H$61="",0,'SVS UnterhaltsRG'!$H$61)</f>
        <v>0</v>
      </c>
      <c r="P136" s="38">
        <f t="shared" si="29"/>
        <v>0</v>
      </c>
      <c r="Q136" s="38">
        <f t="shared" ca="1" si="30"/>
        <v>0</v>
      </c>
      <c r="R136" s="38">
        <f t="shared" si="31"/>
        <v>0</v>
      </c>
      <c r="S136" s="38">
        <f t="shared" ca="1" si="32"/>
        <v>0</v>
      </c>
      <c r="T136" s="16" t="str">
        <f t="shared" si="33"/>
        <v>Leistungswert eintragen</v>
      </c>
      <c r="U136" s="16">
        <f t="shared" si="34"/>
        <v>75</v>
      </c>
      <c r="V136" s="16">
        <f t="shared" si="35"/>
        <v>0</v>
      </c>
    </row>
    <row r="137" spans="1:22" ht="15" customHeight="1" x14ac:dyDescent="0.2">
      <c r="A137" s="78">
        <v>116</v>
      </c>
      <c r="B137" s="88">
        <v>152</v>
      </c>
      <c r="C137" s="89" t="s">
        <v>276</v>
      </c>
      <c r="D137" s="89"/>
      <c r="E137" s="89" t="s">
        <v>297</v>
      </c>
      <c r="F137" s="89" t="s">
        <v>227</v>
      </c>
      <c r="G137" s="90">
        <v>10.25</v>
      </c>
      <c r="H137" s="90"/>
      <c r="I137" s="90"/>
      <c r="J137" s="78" t="s">
        <v>312</v>
      </c>
      <c r="K137" s="90">
        <v>2</v>
      </c>
      <c r="L137" s="38">
        <f>VLOOKUP(K137,Reinigungstage!A10:B31,2,FALSE)</f>
        <v>81.44</v>
      </c>
      <c r="M137" s="38">
        <f t="shared" si="27"/>
        <v>834.76</v>
      </c>
      <c r="N137" s="92">
        <f t="shared" si="28"/>
        <v>0</v>
      </c>
      <c r="O137" s="38">
        <f ca="1">IF('SVS UnterhaltsRG'!$H$61="",0,'SVS UnterhaltsRG'!$H$61)</f>
        <v>0</v>
      </c>
      <c r="P137" s="38">
        <f t="shared" si="29"/>
        <v>0</v>
      </c>
      <c r="Q137" s="38">
        <f t="shared" ca="1" si="30"/>
        <v>0</v>
      </c>
      <c r="R137" s="38">
        <f t="shared" si="31"/>
        <v>0</v>
      </c>
      <c r="S137" s="38">
        <f t="shared" ca="1" si="32"/>
        <v>0</v>
      </c>
      <c r="T137" s="16" t="str">
        <f t="shared" si="33"/>
        <v>Leistungswert eintragen</v>
      </c>
      <c r="U137" s="16">
        <f t="shared" si="34"/>
        <v>75</v>
      </c>
      <c r="V137" s="16">
        <f t="shared" si="35"/>
        <v>0</v>
      </c>
    </row>
    <row r="138" spans="1:22" ht="15" customHeight="1" x14ac:dyDescent="0.2">
      <c r="A138" s="78">
        <v>117</v>
      </c>
      <c r="B138" s="88">
        <v>153</v>
      </c>
      <c r="C138" s="89" t="s">
        <v>276</v>
      </c>
      <c r="D138" s="89"/>
      <c r="E138" s="89" t="s">
        <v>298</v>
      </c>
      <c r="F138" s="89" t="s">
        <v>227</v>
      </c>
      <c r="G138" s="90">
        <v>9.51</v>
      </c>
      <c r="H138" s="90"/>
      <c r="I138" s="90"/>
      <c r="J138" s="78" t="s">
        <v>312</v>
      </c>
      <c r="K138" s="90">
        <v>5</v>
      </c>
      <c r="L138" s="38">
        <f>VLOOKUP(K138,Reinigungstage!A10:B31,2,FALSE)</f>
        <v>196</v>
      </c>
      <c r="M138" s="38">
        <f t="shared" si="27"/>
        <v>1863.96</v>
      </c>
      <c r="N138" s="92">
        <f t="shared" si="28"/>
        <v>0</v>
      </c>
      <c r="O138" s="38">
        <f ca="1">IF('SVS UnterhaltsRG'!$H$61="",0,'SVS UnterhaltsRG'!$H$61)</f>
        <v>0</v>
      </c>
      <c r="P138" s="38">
        <f t="shared" si="29"/>
        <v>0</v>
      </c>
      <c r="Q138" s="38">
        <f t="shared" ca="1" si="30"/>
        <v>0</v>
      </c>
      <c r="R138" s="38">
        <f t="shared" si="31"/>
        <v>0</v>
      </c>
      <c r="S138" s="38">
        <f t="shared" ca="1" si="32"/>
        <v>0</v>
      </c>
      <c r="T138" s="16" t="str">
        <f t="shared" si="33"/>
        <v>Leistungswert eintragen</v>
      </c>
      <c r="U138" s="16">
        <f t="shared" si="34"/>
        <v>75</v>
      </c>
      <c r="V138" s="16">
        <f t="shared" si="35"/>
        <v>0</v>
      </c>
    </row>
    <row r="139" spans="1:22" ht="15" customHeight="1" x14ac:dyDescent="0.2">
      <c r="A139" s="78">
        <v>118</v>
      </c>
      <c r="B139" s="88">
        <v>154</v>
      </c>
      <c r="C139" s="89" t="s">
        <v>276</v>
      </c>
      <c r="D139" s="89"/>
      <c r="E139" s="89" t="s">
        <v>299</v>
      </c>
      <c r="F139" s="89" t="s">
        <v>227</v>
      </c>
      <c r="G139" s="90">
        <v>2.99</v>
      </c>
      <c r="H139" s="90"/>
      <c r="I139" s="90"/>
      <c r="J139" s="78" t="s">
        <v>312</v>
      </c>
      <c r="K139" s="90">
        <v>5</v>
      </c>
      <c r="L139" s="38">
        <f>VLOOKUP(K139,Reinigungstage!A10:B31,2,FALSE)</f>
        <v>196</v>
      </c>
      <c r="M139" s="38">
        <f t="shared" si="27"/>
        <v>586.04</v>
      </c>
      <c r="N139" s="92">
        <f t="shared" si="28"/>
        <v>0</v>
      </c>
      <c r="O139" s="38">
        <f ca="1">IF('SVS UnterhaltsRG'!$H$61="",0,'SVS UnterhaltsRG'!$H$61)</f>
        <v>0</v>
      </c>
      <c r="P139" s="38">
        <f t="shared" si="29"/>
        <v>0</v>
      </c>
      <c r="Q139" s="38">
        <f t="shared" ca="1" si="30"/>
        <v>0</v>
      </c>
      <c r="R139" s="38">
        <f t="shared" si="31"/>
        <v>0</v>
      </c>
      <c r="S139" s="38">
        <f t="shared" ca="1" si="32"/>
        <v>0</v>
      </c>
      <c r="T139" s="16" t="str">
        <f t="shared" si="33"/>
        <v>Leistungswert eintragen</v>
      </c>
      <c r="U139" s="16">
        <f t="shared" si="34"/>
        <v>75</v>
      </c>
      <c r="V139" s="16">
        <f t="shared" si="35"/>
        <v>0</v>
      </c>
    </row>
    <row r="140" spans="1:22" ht="15" customHeight="1" x14ac:dyDescent="0.2">
      <c r="A140" s="78">
        <v>119</v>
      </c>
      <c r="B140" s="88">
        <v>155</v>
      </c>
      <c r="C140" s="89" t="s">
        <v>276</v>
      </c>
      <c r="D140" s="89"/>
      <c r="E140" s="89" t="s">
        <v>299</v>
      </c>
      <c r="F140" s="89" t="s">
        <v>227</v>
      </c>
      <c r="G140" s="90">
        <v>2.86</v>
      </c>
      <c r="H140" s="90"/>
      <c r="I140" s="90"/>
      <c r="J140" s="78" t="s">
        <v>312</v>
      </c>
      <c r="K140" s="90">
        <v>5</v>
      </c>
      <c r="L140" s="38">
        <f>VLOOKUP(K140,Reinigungstage!A10:B31,2,FALSE)</f>
        <v>196</v>
      </c>
      <c r="M140" s="38">
        <f t="shared" si="27"/>
        <v>560.55999999999995</v>
      </c>
      <c r="N140" s="92">
        <f t="shared" si="28"/>
        <v>0</v>
      </c>
      <c r="O140" s="38">
        <f ca="1">IF('SVS UnterhaltsRG'!$H$61="",0,'SVS UnterhaltsRG'!$H$61)</f>
        <v>0</v>
      </c>
      <c r="P140" s="38">
        <f t="shared" si="29"/>
        <v>0</v>
      </c>
      <c r="Q140" s="38">
        <f t="shared" ca="1" si="30"/>
        <v>0</v>
      </c>
      <c r="R140" s="38">
        <f t="shared" si="31"/>
        <v>0</v>
      </c>
      <c r="S140" s="38">
        <f t="shared" ca="1" si="32"/>
        <v>0</v>
      </c>
      <c r="T140" s="16" t="str">
        <f t="shared" si="33"/>
        <v>Leistungswert eintragen</v>
      </c>
      <c r="U140" s="16">
        <f t="shared" si="34"/>
        <v>75</v>
      </c>
      <c r="V140" s="16">
        <f t="shared" si="35"/>
        <v>0</v>
      </c>
    </row>
    <row r="141" spans="1:22" ht="24.95" customHeight="1" x14ac:dyDescent="0.2">
      <c r="A141" s="78">
        <v>120</v>
      </c>
      <c r="B141" s="88">
        <v>156</v>
      </c>
      <c r="C141" s="89" t="s">
        <v>276</v>
      </c>
      <c r="D141" s="128" t="s">
        <v>422</v>
      </c>
      <c r="E141" s="89" t="s">
        <v>300</v>
      </c>
      <c r="F141" s="89" t="s">
        <v>227</v>
      </c>
      <c r="G141" s="90">
        <v>10.44</v>
      </c>
      <c r="H141" s="90"/>
      <c r="I141" s="90"/>
      <c r="J141" s="78" t="s">
        <v>316</v>
      </c>
      <c r="K141" s="90">
        <v>5</v>
      </c>
      <c r="L141" s="38">
        <f>VLOOKUP(K141,Reinigungstage!A10:B31,2,FALSE)</f>
        <v>196</v>
      </c>
      <c r="M141" s="38">
        <f t="shared" si="27"/>
        <v>2046.24</v>
      </c>
      <c r="N141" s="92">
        <f t="shared" si="28"/>
        <v>0</v>
      </c>
      <c r="O141" s="38">
        <f ca="1">IF('SVS UnterhaltsRG'!$M$27="",0,'SVS UnterhaltsRG'!$M$27)</f>
        <v>0</v>
      </c>
      <c r="P141" s="38">
        <f t="shared" si="29"/>
        <v>0</v>
      </c>
      <c r="Q141" s="38">
        <f t="shared" ca="1" si="30"/>
        <v>0</v>
      </c>
      <c r="R141" s="38">
        <f t="shared" si="31"/>
        <v>0</v>
      </c>
      <c r="S141" s="38">
        <f t="shared" ca="1" si="32"/>
        <v>0</v>
      </c>
      <c r="T141" s="16" t="str">
        <f t="shared" si="33"/>
        <v>Leistungswert eintragen</v>
      </c>
      <c r="U141" s="16">
        <f t="shared" si="34"/>
        <v>220</v>
      </c>
      <c r="V141" s="16">
        <f t="shared" si="35"/>
        <v>0</v>
      </c>
    </row>
    <row r="142" spans="1:22" ht="24.95" customHeight="1" x14ac:dyDescent="0.2">
      <c r="A142" s="78">
        <v>121</v>
      </c>
      <c r="B142" s="88">
        <v>157</v>
      </c>
      <c r="C142" s="89" t="s">
        <v>276</v>
      </c>
      <c r="D142" s="128" t="s">
        <v>422</v>
      </c>
      <c r="E142" s="89" t="s">
        <v>301</v>
      </c>
      <c r="F142" s="89" t="s">
        <v>227</v>
      </c>
      <c r="G142" s="90">
        <v>12.92</v>
      </c>
      <c r="H142" s="90"/>
      <c r="I142" s="90"/>
      <c r="J142" s="78" t="s">
        <v>312</v>
      </c>
      <c r="K142" s="90">
        <v>5</v>
      </c>
      <c r="L142" s="38">
        <f>VLOOKUP(K142,Reinigungstage!A10:B31,2,FALSE)</f>
        <v>196</v>
      </c>
      <c r="M142" s="38">
        <f t="shared" si="27"/>
        <v>2532.3200000000002</v>
      </c>
      <c r="N142" s="92">
        <f t="shared" si="28"/>
        <v>0</v>
      </c>
      <c r="O142" s="38">
        <f ca="1">IF('SVS UnterhaltsRG'!$M$27="",0,'SVS UnterhaltsRG'!$M$27)</f>
        <v>0</v>
      </c>
      <c r="P142" s="38">
        <f t="shared" si="29"/>
        <v>0</v>
      </c>
      <c r="Q142" s="38">
        <f t="shared" ca="1" si="30"/>
        <v>0</v>
      </c>
      <c r="R142" s="38">
        <f t="shared" si="31"/>
        <v>0</v>
      </c>
      <c r="S142" s="38">
        <f t="shared" ca="1" si="32"/>
        <v>0</v>
      </c>
      <c r="T142" s="16" t="str">
        <f t="shared" si="33"/>
        <v>Leistungswert eintragen</v>
      </c>
      <c r="U142" s="16">
        <f t="shared" si="34"/>
        <v>75</v>
      </c>
      <c r="V142" s="16">
        <f t="shared" si="35"/>
        <v>0</v>
      </c>
    </row>
    <row r="143" spans="1:22" ht="24.95" customHeight="1" x14ac:dyDescent="0.2">
      <c r="A143" s="78">
        <v>122</v>
      </c>
      <c r="B143" s="88">
        <v>158</v>
      </c>
      <c r="C143" s="89" t="s">
        <v>276</v>
      </c>
      <c r="D143" s="128" t="s">
        <v>422</v>
      </c>
      <c r="E143" s="89" t="s">
        <v>302</v>
      </c>
      <c r="F143" s="89" t="s">
        <v>227</v>
      </c>
      <c r="G143" s="90">
        <v>10.58</v>
      </c>
      <c r="H143" s="90"/>
      <c r="I143" s="90"/>
      <c r="J143" s="78" t="s">
        <v>316</v>
      </c>
      <c r="K143" s="90">
        <v>5</v>
      </c>
      <c r="L143" s="38">
        <f>VLOOKUP(K143,Reinigungstage!A10:B31,2,FALSE)</f>
        <v>196</v>
      </c>
      <c r="M143" s="38">
        <f t="shared" si="27"/>
        <v>2073.6799999999998</v>
      </c>
      <c r="N143" s="92">
        <f t="shared" si="28"/>
        <v>0</v>
      </c>
      <c r="O143" s="38">
        <f ca="1">IF('SVS UnterhaltsRG'!$M$27="",0,'SVS UnterhaltsRG'!$M$27)</f>
        <v>0</v>
      </c>
      <c r="P143" s="38">
        <f t="shared" si="29"/>
        <v>0</v>
      </c>
      <c r="Q143" s="38">
        <f t="shared" ca="1" si="30"/>
        <v>0</v>
      </c>
      <c r="R143" s="38">
        <f t="shared" si="31"/>
        <v>0</v>
      </c>
      <c r="S143" s="38">
        <f t="shared" ca="1" si="32"/>
        <v>0</v>
      </c>
      <c r="T143" s="16" t="str">
        <f t="shared" si="33"/>
        <v>Leistungswert eintragen</v>
      </c>
      <c r="U143" s="16">
        <f t="shared" si="34"/>
        <v>220</v>
      </c>
      <c r="V143" s="16">
        <f t="shared" si="35"/>
        <v>0</v>
      </c>
    </row>
    <row r="144" spans="1:22" ht="24.95" customHeight="1" x14ac:dyDescent="0.2">
      <c r="A144" s="78">
        <v>123</v>
      </c>
      <c r="B144" s="88">
        <v>159</v>
      </c>
      <c r="C144" s="89" t="s">
        <v>276</v>
      </c>
      <c r="D144" s="128" t="s">
        <v>422</v>
      </c>
      <c r="E144" s="89" t="s">
        <v>303</v>
      </c>
      <c r="F144" s="89" t="s">
        <v>227</v>
      </c>
      <c r="G144" s="90">
        <v>13.1</v>
      </c>
      <c r="H144" s="90"/>
      <c r="I144" s="90"/>
      <c r="J144" s="78" t="s">
        <v>312</v>
      </c>
      <c r="K144" s="90">
        <v>5</v>
      </c>
      <c r="L144" s="38">
        <f>VLOOKUP(K144,Reinigungstage!A10:B31,2,FALSE)</f>
        <v>196</v>
      </c>
      <c r="M144" s="38">
        <f t="shared" si="27"/>
        <v>2567.6</v>
      </c>
      <c r="N144" s="92">
        <f t="shared" si="28"/>
        <v>0</v>
      </c>
      <c r="O144" s="38">
        <f ca="1">IF('SVS UnterhaltsRG'!$M$27="",0,'SVS UnterhaltsRG'!$M$27)</f>
        <v>0</v>
      </c>
      <c r="P144" s="38">
        <f t="shared" si="29"/>
        <v>0</v>
      </c>
      <c r="Q144" s="38">
        <f t="shared" ca="1" si="30"/>
        <v>0</v>
      </c>
      <c r="R144" s="38">
        <f t="shared" si="31"/>
        <v>0</v>
      </c>
      <c r="S144" s="38">
        <f t="shared" ca="1" si="32"/>
        <v>0</v>
      </c>
      <c r="T144" s="16" t="str">
        <f t="shared" si="33"/>
        <v>Leistungswert eintragen</v>
      </c>
      <c r="U144" s="16">
        <f t="shared" si="34"/>
        <v>75</v>
      </c>
      <c r="V144" s="16">
        <f t="shared" si="35"/>
        <v>0</v>
      </c>
    </row>
    <row r="145" spans="1:22" ht="15" customHeight="1" x14ac:dyDescent="0.2">
      <c r="A145" s="78">
        <v>124</v>
      </c>
      <c r="B145" s="88">
        <v>172</v>
      </c>
      <c r="C145" s="89" t="s">
        <v>276</v>
      </c>
      <c r="D145" s="89"/>
      <c r="E145" s="89" t="s">
        <v>240</v>
      </c>
      <c r="F145" s="89" t="s">
        <v>227</v>
      </c>
      <c r="G145" s="90">
        <v>39.9</v>
      </c>
      <c r="H145" s="90"/>
      <c r="I145" s="90"/>
      <c r="J145" s="78" t="s">
        <v>307</v>
      </c>
      <c r="K145" s="90">
        <v>5</v>
      </c>
      <c r="L145" s="38">
        <f>VLOOKUP(K145,Reinigungstage!A10:B31,2,FALSE)</f>
        <v>196</v>
      </c>
      <c r="M145" s="38">
        <f t="shared" si="27"/>
        <v>7820.4</v>
      </c>
      <c r="N145" s="92">
        <f t="shared" si="28"/>
        <v>0</v>
      </c>
      <c r="O145" s="38">
        <f ca="1">IF('SVS UnterhaltsRG'!$H$61="",0,'SVS UnterhaltsRG'!$H$61)</f>
        <v>0</v>
      </c>
      <c r="P145" s="38">
        <f t="shared" si="29"/>
        <v>0</v>
      </c>
      <c r="Q145" s="38">
        <f t="shared" ca="1" si="30"/>
        <v>0</v>
      </c>
      <c r="R145" s="38">
        <f t="shared" si="31"/>
        <v>0</v>
      </c>
      <c r="S145" s="38">
        <f t="shared" ca="1" si="32"/>
        <v>0</v>
      </c>
      <c r="T145" s="16" t="str">
        <f t="shared" si="33"/>
        <v>Leistungswert eintragen</v>
      </c>
      <c r="U145" s="16">
        <f t="shared" si="34"/>
        <v>165</v>
      </c>
      <c r="V145" s="16">
        <f t="shared" si="35"/>
        <v>0</v>
      </c>
    </row>
    <row r="146" spans="1:22" ht="15" customHeight="1" x14ac:dyDescent="0.2">
      <c r="A146" s="78">
        <v>125</v>
      </c>
      <c r="B146" s="88">
        <v>173</v>
      </c>
      <c r="C146" s="89" t="s">
        <v>276</v>
      </c>
      <c r="D146" s="89"/>
      <c r="E146" s="89" t="s">
        <v>241</v>
      </c>
      <c r="F146" s="89" t="s">
        <v>242</v>
      </c>
      <c r="G146" s="90">
        <v>2.88</v>
      </c>
      <c r="H146" s="90"/>
      <c r="I146" s="90"/>
      <c r="J146" s="78" t="s">
        <v>310</v>
      </c>
      <c r="K146" s="90">
        <v>0</v>
      </c>
      <c r="L146" s="38">
        <f>VLOOKUP(K146,Reinigungstage!A10:B31,2,FALSE)</f>
        <v>0</v>
      </c>
      <c r="M146" s="38">
        <f t="shared" si="27"/>
        <v>0</v>
      </c>
      <c r="N146" s="92">
        <f t="shared" si="28"/>
        <v>0</v>
      </c>
      <c r="O146" s="38">
        <f ca="1">IF('SVS UnterhaltsRG'!$H$61="",0,'SVS UnterhaltsRG'!$H$61)</f>
        <v>0</v>
      </c>
      <c r="P146" s="38">
        <f t="shared" si="29"/>
        <v>0</v>
      </c>
      <c r="Q146" s="38">
        <f t="shared" si="30"/>
        <v>0</v>
      </c>
      <c r="R146" s="38">
        <f t="shared" si="31"/>
        <v>0</v>
      </c>
      <c r="S146" s="38">
        <f t="shared" si="32"/>
        <v>0</v>
      </c>
      <c r="T146" s="16" t="str">
        <f t="shared" si="33"/>
        <v/>
      </c>
      <c r="U146" s="16">
        <f t="shared" si="34"/>
        <v>300</v>
      </c>
      <c r="V146" s="16">
        <f t="shared" si="35"/>
        <v>0</v>
      </c>
    </row>
    <row r="147" spans="1:22" ht="15" customHeight="1" x14ac:dyDescent="0.2">
      <c r="A147" s="78">
        <v>126</v>
      </c>
      <c r="B147" s="88">
        <v>174</v>
      </c>
      <c r="C147" s="89" t="s">
        <v>276</v>
      </c>
      <c r="D147" s="89"/>
      <c r="E147" s="89" t="s">
        <v>243</v>
      </c>
      <c r="F147" s="89" t="s">
        <v>244</v>
      </c>
      <c r="G147" s="90">
        <v>2.57</v>
      </c>
      <c r="H147" s="90"/>
      <c r="I147" s="90"/>
      <c r="J147" s="78" t="s">
        <v>310</v>
      </c>
      <c r="K147" s="90">
        <v>0</v>
      </c>
      <c r="L147" s="38">
        <f>VLOOKUP(K147,Reinigungstage!A10:B31,2,FALSE)</f>
        <v>0</v>
      </c>
      <c r="M147" s="38">
        <f t="shared" si="27"/>
        <v>0</v>
      </c>
      <c r="N147" s="92">
        <f t="shared" si="28"/>
        <v>0</v>
      </c>
      <c r="O147" s="38">
        <f ca="1">IF('SVS UnterhaltsRG'!$H$61="",0,'SVS UnterhaltsRG'!$H$61)</f>
        <v>0</v>
      </c>
      <c r="P147" s="38">
        <f t="shared" si="29"/>
        <v>0</v>
      </c>
      <c r="Q147" s="38">
        <f t="shared" si="30"/>
        <v>0</v>
      </c>
      <c r="R147" s="38">
        <f t="shared" si="31"/>
        <v>0</v>
      </c>
      <c r="S147" s="38">
        <f t="shared" si="32"/>
        <v>0</v>
      </c>
      <c r="T147" s="16" t="str">
        <f t="shared" si="33"/>
        <v/>
      </c>
      <c r="U147" s="16">
        <f t="shared" si="34"/>
        <v>300</v>
      </c>
      <c r="V147" s="16">
        <f t="shared" si="35"/>
        <v>0</v>
      </c>
    </row>
    <row r="148" spans="1:22" ht="15" customHeight="1" x14ac:dyDescent="0.2">
      <c r="A148" s="78">
        <v>127</v>
      </c>
      <c r="B148" s="88">
        <v>175</v>
      </c>
      <c r="C148" s="89" t="s">
        <v>276</v>
      </c>
      <c r="D148" s="89"/>
      <c r="E148" s="89" t="s">
        <v>245</v>
      </c>
      <c r="F148" s="89" t="s">
        <v>229</v>
      </c>
      <c r="G148" s="90">
        <v>66.69</v>
      </c>
      <c r="H148" s="90"/>
      <c r="I148" s="90"/>
      <c r="J148" s="78" t="s">
        <v>313</v>
      </c>
      <c r="K148" s="90">
        <v>5</v>
      </c>
      <c r="L148" s="38">
        <f>VLOOKUP(K148,Reinigungstage!A10:B31,2,FALSE)</f>
        <v>196</v>
      </c>
      <c r="M148" s="38">
        <f t="shared" si="27"/>
        <v>13071.24</v>
      </c>
      <c r="N148" s="92">
        <f t="shared" si="28"/>
        <v>0</v>
      </c>
      <c r="O148" s="38">
        <f ca="1">IF('SVS UnterhaltsRG'!$H$61="",0,'SVS UnterhaltsRG'!$H$61)</f>
        <v>0</v>
      </c>
      <c r="P148" s="38">
        <f t="shared" si="29"/>
        <v>0</v>
      </c>
      <c r="Q148" s="38">
        <f t="shared" ca="1" si="30"/>
        <v>0</v>
      </c>
      <c r="R148" s="38">
        <f t="shared" si="31"/>
        <v>0</v>
      </c>
      <c r="S148" s="38">
        <f t="shared" ca="1" si="32"/>
        <v>0</v>
      </c>
      <c r="T148" s="16" t="str">
        <f t="shared" si="33"/>
        <v>Leistungswert eintragen</v>
      </c>
      <c r="U148" s="16">
        <f t="shared" si="34"/>
        <v>450</v>
      </c>
      <c r="V148" s="16">
        <f t="shared" si="35"/>
        <v>0</v>
      </c>
    </row>
    <row r="149" spans="1:22" ht="15" customHeight="1" x14ac:dyDescent="0.2">
      <c r="A149" s="78">
        <v>128</v>
      </c>
      <c r="B149" s="88">
        <v>176</v>
      </c>
      <c r="C149" s="89" t="s">
        <v>276</v>
      </c>
      <c r="D149" s="89"/>
      <c r="E149" s="89" t="s">
        <v>245</v>
      </c>
      <c r="F149" s="89" t="s">
        <v>229</v>
      </c>
      <c r="G149" s="90">
        <v>102</v>
      </c>
      <c r="H149" s="90"/>
      <c r="I149" s="90"/>
      <c r="J149" s="78" t="s">
        <v>313</v>
      </c>
      <c r="K149" s="90">
        <v>5</v>
      </c>
      <c r="L149" s="38">
        <f>VLOOKUP(K149,Reinigungstage!A10:B31,2,FALSE)</f>
        <v>196</v>
      </c>
      <c r="M149" s="38">
        <f t="shared" si="27"/>
        <v>19992</v>
      </c>
      <c r="N149" s="92">
        <f t="shared" si="28"/>
        <v>0</v>
      </c>
      <c r="O149" s="38">
        <f ca="1">IF('SVS UnterhaltsRG'!$H$61="",0,'SVS UnterhaltsRG'!$H$61)</f>
        <v>0</v>
      </c>
      <c r="P149" s="38">
        <f t="shared" si="29"/>
        <v>0</v>
      </c>
      <c r="Q149" s="38">
        <f t="shared" ca="1" si="30"/>
        <v>0</v>
      </c>
      <c r="R149" s="38">
        <f t="shared" si="31"/>
        <v>0</v>
      </c>
      <c r="S149" s="38">
        <f t="shared" ca="1" si="32"/>
        <v>0</v>
      </c>
      <c r="T149" s="16" t="str">
        <f t="shared" si="33"/>
        <v>Leistungswert eintragen</v>
      </c>
      <c r="U149" s="16">
        <f t="shared" si="34"/>
        <v>450</v>
      </c>
      <c r="V149" s="16">
        <f t="shared" si="35"/>
        <v>0</v>
      </c>
    </row>
    <row r="150" spans="1:22" ht="15" customHeight="1" x14ac:dyDescent="0.2">
      <c r="A150" s="78">
        <v>129</v>
      </c>
      <c r="B150" s="88">
        <v>177</v>
      </c>
      <c r="C150" s="89" t="s">
        <v>276</v>
      </c>
      <c r="D150" s="89"/>
      <c r="E150" s="89" t="s">
        <v>245</v>
      </c>
      <c r="F150" s="89" t="s">
        <v>229</v>
      </c>
      <c r="G150" s="90">
        <v>67.39</v>
      </c>
      <c r="H150" s="90"/>
      <c r="I150" s="90"/>
      <c r="J150" s="78" t="s">
        <v>313</v>
      </c>
      <c r="K150" s="90">
        <v>5</v>
      </c>
      <c r="L150" s="38">
        <f>VLOOKUP(K150,Reinigungstage!A10:B31,2,FALSE)</f>
        <v>196</v>
      </c>
      <c r="M150" s="38">
        <f t="shared" ref="M150:M156" si="36">ROUND(IF(L150=0,0,L150*G150),2)</f>
        <v>13208.44</v>
      </c>
      <c r="N150" s="92">
        <f t="shared" ref="N150:N156" si="37">VLOOKUP(J150,$G$4:$H$14,2,FALSE)</f>
        <v>0</v>
      </c>
      <c r="O150" s="38">
        <f ca="1">IF('SVS UnterhaltsRG'!$H$61="",0,'SVS UnterhaltsRG'!$H$61)</f>
        <v>0</v>
      </c>
      <c r="P150" s="38">
        <f t="shared" ref="P150:P156" si="38">ROUND(IF(N150=0,0,M150/N150),2)</f>
        <v>0</v>
      </c>
      <c r="Q150" s="38">
        <f t="shared" ref="Q150:Q156" ca="1" si="39">IF(M150=0,0,IF(O150="",0,ROUND(P150*O150,2)))</f>
        <v>0</v>
      </c>
      <c r="R150" s="38">
        <f t="shared" ref="R150:R156" si="40">ROUND(IF(P150=0,0,P150/L150),2)</f>
        <v>0</v>
      </c>
      <c r="S150" s="38">
        <f t="shared" ref="S150:S156" ca="1" si="41">ROUND(IF(Q150=0,0,Q150/L150),2)</f>
        <v>0</v>
      </c>
      <c r="T150" s="16" t="str">
        <f t="shared" ref="T150:T156" si="42">IF(M150=0,"",IF(N150=0,"Leistungswert eintragen",IF(O150=0,"SVS prüfen","")))</f>
        <v>Leistungswert eintragen</v>
      </c>
      <c r="U150" s="16">
        <f t="shared" ref="U150:U156" si="43">VLOOKUP(J150,$U$4:$V$14,2,FALSE)</f>
        <v>450</v>
      </c>
      <c r="V150" s="16">
        <f t="shared" ref="V150:V156" si="44">IF(M150=0,0,IF(U150&lt;N150,1,IF(U150&gt;=N150,0,"")))</f>
        <v>0</v>
      </c>
    </row>
    <row r="151" spans="1:22" ht="15" customHeight="1" x14ac:dyDescent="0.2">
      <c r="A151" s="78">
        <v>130</v>
      </c>
      <c r="B151" s="88">
        <v>178</v>
      </c>
      <c r="C151" s="89" t="s">
        <v>276</v>
      </c>
      <c r="D151" s="89"/>
      <c r="E151" s="89" t="s">
        <v>304</v>
      </c>
      <c r="F151" s="89" t="s">
        <v>244</v>
      </c>
      <c r="G151" s="90">
        <v>4.8600000000000003</v>
      </c>
      <c r="H151" s="90"/>
      <c r="I151" s="90"/>
      <c r="J151" s="78" t="s">
        <v>310</v>
      </c>
      <c r="K151" s="90">
        <v>0</v>
      </c>
      <c r="L151" s="38">
        <f>VLOOKUP(K151,Reinigungstage!A10:B31,2,FALSE)</f>
        <v>0</v>
      </c>
      <c r="M151" s="38">
        <f t="shared" si="36"/>
        <v>0</v>
      </c>
      <c r="N151" s="92">
        <f t="shared" si="37"/>
        <v>0</v>
      </c>
      <c r="O151" s="38">
        <f ca="1">IF('SVS UnterhaltsRG'!$H$61="",0,'SVS UnterhaltsRG'!$H$61)</f>
        <v>0</v>
      </c>
      <c r="P151" s="38">
        <f t="shared" si="38"/>
        <v>0</v>
      </c>
      <c r="Q151" s="38">
        <f t="shared" si="39"/>
        <v>0</v>
      </c>
      <c r="R151" s="38">
        <f t="shared" si="40"/>
        <v>0</v>
      </c>
      <c r="S151" s="38">
        <f t="shared" si="41"/>
        <v>0</v>
      </c>
      <c r="T151" s="16" t="str">
        <f t="shared" si="42"/>
        <v/>
      </c>
      <c r="U151" s="16">
        <f t="shared" si="43"/>
        <v>300</v>
      </c>
      <c r="V151" s="16">
        <f t="shared" si="44"/>
        <v>0</v>
      </c>
    </row>
    <row r="152" spans="1:22" ht="15" customHeight="1" x14ac:dyDescent="0.2">
      <c r="A152" s="78">
        <v>131</v>
      </c>
      <c r="B152" s="88">
        <v>179</v>
      </c>
      <c r="C152" s="89" t="s">
        <v>276</v>
      </c>
      <c r="D152" s="89"/>
      <c r="E152" s="89" t="s">
        <v>247</v>
      </c>
      <c r="F152" s="89" t="s">
        <v>227</v>
      </c>
      <c r="G152" s="90">
        <v>41.01</v>
      </c>
      <c r="H152" s="90"/>
      <c r="I152" s="90"/>
      <c r="J152" s="78" t="s">
        <v>307</v>
      </c>
      <c r="K152" s="90">
        <v>5</v>
      </c>
      <c r="L152" s="38">
        <f>VLOOKUP(K152,Reinigungstage!A10:B31,2,FALSE)</f>
        <v>196</v>
      </c>
      <c r="M152" s="38">
        <f t="shared" si="36"/>
        <v>8037.96</v>
      </c>
      <c r="N152" s="92">
        <f t="shared" si="37"/>
        <v>0</v>
      </c>
      <c r="O152" s="38">
        <f ca="1">IF('SVS UnterhaltsRG'!$H$61="",0,'SVS UnterhaltsRG'!$H$61)</f>
        <v>0</v>
      </c>
      <c r="P152" s="38">
        <f t="shared" si="38"/>
        <v>0</v>
      </c>
      <c r="Q152" s="38">
        <f t="shared" ca="1" si="39"/>
        <v>0</v>
      </c>
      <c r="R152" s="38">
        <f t="shared" si="40"/>
        <v>0</v>
      </c>
      <c r="S152" s="38">
        <f t="shared" ca="1" si="41"/>
        <v>0</v>
      </c>
      <c r="T152" s="16" t="str">
        <f t="shared" si="42"/>
        <v>Leistungswert eintragen</v>
      </c>
      <c r="U152" s="16">
        <f t="shared" si="43"/>
        <v>165</v>
      </c>
      <c r="V152" s="16">
        <f t="shared" si="44"/>
        <v>0</v>
      </c>
    </row>
    <row r="153" spans="1:22" ht="24.95" customHeight="1" x14ac:dyDescent="0.2">
      <c r="A153" s="78">
        <v>132</v>
      </c>
      <c r="B153" s="88">
        <v>181</v>
      </c>
      <c r="C153" s="89" t="s">
        <v>276</v>
      </c>
      <c r="D153" s="128" t="s">
        <v>422</v>
      </c>
      <c r="E153" s="89" t="s">
        <v>305</v>
      </c>
      <c r="F153" s="89" t="s">
        <v>227</v>
      </c>
      <c r="G153" s="90">
        <v>89.62</v>
      </c>
      <c r="H153" s="90"/>
      <c r="I153" s="90"/>
      <c r="J153" s="78" t="s">
        <v>313</v>
      </c>
      <c r="K153" s="90">
        <v>5</v>
      </c>
      <c r="L153" s="38">
        <f>VLOOKUP(K153,Reinigungstage!A10:B31,2,FALSE)</f>
        <v>196</v>
      </c>
      <c r="M153" s="38">
        <f t="shared" si="36"/>
        <v>17565.52</v>
      </c>
      <c r="N153" s="92">
        <f t="shared" si="37"/>
        <v>0</v>
      </c>
      <c r="O153" s="38">
        <f ca="1">IF('SVS UnterhaltsRG'!$M$27="",0,'SVS UnterhaltsRG'!$M$27)</f>
        <v>0</v>
      </c>
      <c r="P153" s="38">
        <f t="shared" si="38"/>
        <v>0</v>
      </c>
      <c r="Q153" s="38">
        <f t="shared" ca="1" si="39"/>
        <v>0</v>
      </c>
      <c r="R153" s="38">
        <f t="shared" si="40"/>
        <v>0</v>
      </c>
      <c r="S153" s="38">
        <f t="shared" ca="1" si="41"/>
        <v>0</v>
      </c>
      <c r="T153" s="16" t="str">
        <f t="shared" si="42"/>
        <v>Leistungswert eintragen</v>
      </c>
      <c r="U153" s="16">
        <f t="shared" si="43"/>
        <v>450</v>
      </c>
      <c r="V153" s="16">
        <f t="shared" si="44"/>
        <v>0</v>
      </c>
    </row>
    <row r="154" spans="1:22" ht="15" customHeight="1" x14ac:dyDescent="0.2">
      <c r="A154" s="78">
        <v>133</v>
      </c>
      <c r="B154" s="88">
        <v>182</v>
      </c>
      <c r="C154" s="89" t="s">
        <v>276</v>
      </c>
      <c r="D154" s="89"/>
      <c r="E154" s="89" t="s">
        <v>274</v>
      </c>
      <c r="F154" s="89" t="s">
        <v>227</v>
      </c>
      <c r="G154" s="90">
        <v>36.69</v>
      </c>
      <c r="H154" s="90"/>
      <c r="I154" s="90"/>
      <c r="J154" s="78" t="s">
        <v>307</v>
      </c>
      <c r="K154" s="90">
        <v>5</v>
      </c>
      <c r="L154" s="38">
        <f>VLOOKUP(K154,Reinigungstage!A10:B31,2,FALSE)</f>
        <v>196</v>
      </c>
      <c r="M154" s="38">
        <f t="shared" si="36"/>
        <v>7191.24</v>
      </c>
      <c r="N154" s="92">
        <f t="shared" si="37"/>
        <v>0</v>
      </c>
      <c r="O154" s="38">
        <f ca="1">IF('SVS UnterhaltsRG'!$H$61="",0,'SVS UnterhaltsRG'!$H$61)</f>
        <v>0</v>
      </c>
      <c r="P154" s="38">
        <f t="shared" si="38"/>
        <v>0</v>
      </c>
      <c r="Q154" s="38">
        <f t="shared" ca="1" si="39"/>
        <v>0</v>
      </c>
      <c r="R154" s="38">
        <f t="shared" si="40"/>
        <v>0</v>
      </c>
      <c r="S154" s="38">
        <f t="shared" ca="1" si="41"/>
        <v>0</v>
      </c>
      <c r="T154" s="16" t="str">
        <f t="shared" si="42"/>
        <v>Leistungswert eintragen</v>
      </c>
      <c r="U154" s="16">
        <f t="shared" si="43"/>
        <v>165</v>
      </c>
      <c r="V154" s="16">
        <f t="shared" si="44"/>
        <v>0</v>
      </c>
    </row>
    <row r="155" spans="1:22" ht="15" customHeight="1" x14ac:dyDescent="0.2">
      <c r="A155" s="78">
        <v>134</v>
      </c>
      <c r="B155" s="88">
        <v>192</v>
      </c>
      <c r="C155" s="89" t="s">
        <v>276</v>
      </c>
      <c r="D155" s="89"/>
      <c r="E155" s="89" t="s">
        <v>275</v>
      </c>
      <c r="F155" s="89" t="s">
        <v>227</v>
      </c>
      <c r="G155" s="90">
        <v>24.35</v>
      </c>
      <c r="H155" s="90"/>
      <c r="I155" s="90"/>
      <c r="J155" s="78" t="s">
        <v>307</v>
      </c>
      <c r="K155" s="90">
        <v>5</v>
      </c>
      <c r="L155" s="38">
        <f>VLOOKUP(K155,Reinigungstage!A10:B31,2,FALSE)</f>
        <v>196</v>
      </c>
      <c r="M155" s="38">
        <f t="shared" si="36"/>
        <v>4772.6000000000004</v>
      </c>
      <c r="N155" s="92">
        <f t="shared" si="37"/>
        <v>0</v>
      </c>
      <c r="O155" s="38">
        <f ca="1">IF('SVS UnterhaltsRG'!$H$61="",0,'SVS UnterhaltsRG'!$H$61)</f>
        <v>0</v>
      </c>
      <c r="P155" s="38">
        <f t="shared" si="38"/>
        <v>0</v>
      </c>
      <c r="Q155" s="38">
        <f t="shared" ca="1" si="39"/>
        <v>0</v>
      </c>
      <c r="R155" s="38">
        <f t="shared" si="40"/>
        <v>0</v>
      </c>
      <c r="S155" s="38">
        <f t="shared" ca="1" si="41"/>
        <v>0</v>
      </c>
      <c r="T155" s="16" t="str">
        <f t="shared" si="42"/>
        <v>Leistungswert eintragen</v>
      </c>
      <c r="U155" s="16">
        <f t="shared" si="43"/>
        <v>165</v>
      </c>
      <c r="V155" s="16">
        <f t="shared" si="44"/>
        <v>0</v>
      </c>
    </row>
    <row r="156" spans="1:22" ht="15" customHeight="1" x14ac:dyDescent="0.2">
      <c r="A156" s="78">
        <v>135</v>
      </c>
      <c r="B156" s="88">
        <v>193</v>
      </c>
      <c r="C156" s="89" t="s">
        <v>276</v>
      </c>
      <c r="D156" s="89"/>
      <c r="E156" s="89" t="s">
        <v>306</v>
      </c>
      <c r="F156" s="89" t="s">
        <v>244</v>
      </c>
      <c r="G156" s="90">
        <v>8.42</v>
      </c>
      <c r="H156" s="90"/>
      <c r="I156" s="90"/>
      <c r="J156" s="78" t="s">
        <v>310</v>
      </c>
      <c r="K156" s="90">
        <v>0</v>
      </c>
      <c r="L156" s="38">
        <f>VLOOKUP(K156,Reinigungstage!A10:B31,2,FALSE)</f>
        <v>0</v>
      </c>
      <c r="M156" s="38">
        <f t="shared" si="36"/>
        <v>0</v>
      </c>
      <c r="N156" s="92">
        <f t="shared" si="37"/>
        <v>0</v>
      </c>
      <c r="O156" s="38">
        <f ca="1">IF('SVS UnterhaltsRG'!$H$61="",0,'SVS UnterhaltsRG'!$H$61)</f>
        <v>0</v>
      </c>
      <c r="P156" s="38">
        <f t="shared" si="38"/>
        <v>0</v>
      </c>
      <c r="Q156" s="38">
        <f t="shared" si="39"/>
        <v>0</v>
      </c>
      <c r="R156" s="38">
        <f t="shared" si="40"/>
        <v>0</v>
      </c>
      <c r="S156" s="38">
        <f t="shared" si="41"/>
        <v>0</v>
      </c>
      <c r="T156" s="16" t="str">
        <f t="shared" si="42"/>
        <v/>
      </c>
      <c r="U156" s="16">
        <f t="shared" si="43"/>
        <v>300</v>
      </c>
      <c r="V156" s="16">
        <f t="shared" si="44"/>
        <v>0</v>
      </c>
    </row>
  </sheetData>
  <sheetProtection algorithmName="SHA-512" hashValue="EejRknvlejH1gUhZEwjn6+10IAu70J2sIs2dmjNjHngQVB+5NjMDIc1JP+vgMWYA62PfMO63m3DgdJNXimhwRQ==" saltValue="cW+20m+905aqzfpeG7n2Eg==" spinCount="100000" sheet="1" objects="1" scenarios="1"/>
  <sortState xmlns:xlrd2="http://schemas.microsoft.com/office/spreadsheetml/2017/richdata2" ref="U4:U14">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121"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120" priority="5" operator="containsText" text="Bitte prüfen Sie diese.">
      <formula>NOT(ISERROR(SEARCH("Bitte prüfen Sie diese.",L9)))</formula>
    </cfRule>
  </conditionalFormatting>
  <conditionalFormatting sqref="L10">
    <cfRule type="containsText" dxfId="119"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118" priority="3" operator="containsText" text="lediglich Fehleingaben vermeiden wollen.">
      <formula>NOT(ISERROR(SEARCH("lediglich Fehleingaben vermeiden wollen.",L11)))</formula>
    </cfRule>
  </conditionalFormatting>
  <conditionalFormatting sqref="M11">
    <cfRule type="containsText" dxfId="117" priority="8" operator="containsText" text="Bitte die Leistungswerte im Leistungsverzeichnis/ Tabellenblatt Leistungsrichtwerte">
      <formula>NOT(ISERROR(SEARCH("Bitte die Leistungswerte im Leistungsverzeichnis/ Tabellenblatt Leistungsrichtwerte",M11)))</formula>
    </cfRule>
  </conditionalFormatting>
  <conditionalFormatting sqref="M12">
    <cfRule type="containsText" dxfId="116" priority="7" operator="containsText" text="für die Objektart prüfen.">
      <formula>NOT(ISERROR(SEARCH("für die Objektart prüfen.",M12)))</formula>
    </cfRule>
  </conditionalFormatting>
  <conditionalFormatting sqref="N13">
    <cfRule type="expression" dxfId="115" priority="2" stopIfTrue="1">
      <formula>N13=0</formula>
    </cfRule>
  </conditionalFormatting>
  <conditionalFormatting sqref="N14">
    <cfRule type="expression" dxfId="114" priority="1">
      <formula>N14=0</formula>
    </cfRule>
  </conditionalFormatting>
  <conditionalFormatting sqref="N22:N156">
    <cfRule type="expression" dxfId="113" priority="11">
      <formula>V22=0</formula>
    </cfRule>
    <cfRule type="expression" dxfId="112" priority="12" stopIfTrue="1">
      <formula>V22=1</formula>
    </cfRule>
  </conditionalFormatting>
  <conditionalFormatting sqref="O13">
    <cfRule type="containsText" dxfId="111" priority="10"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110" priority="9" operator="containsText" text="Wert(e) prüfen.">
      <formula>NOT(ISERROR(SEARCH("Wert(e) prüfen.",O14)))</formula>
    </cfRule>
  </conditionalFormatting>
  <conditionalFormatting sqref="T22:T156">
    <cfRule type="containsText" dxfId="109" priority="13" stopIfTrue="1" operator="containsText" text="SVS prüfen">
      <formula>NOT(ISERROR(SEARCH("SVS prüfen",T22)))</formula>
    </cfRule>
    <cfRule type="containsText" dxfId="108" priority="14" stopIfTrue="1" operator="containsText" text="Leistungswert eintragen">
      <formula>NOT(ISERROR(SEARCH("Leistungswert eintragen",T22)))</formula>
    </cfRule>
  </conditionalFormatting>
  <hyperlinks>
    <hyperlink ref="M1" location="Inhaltsverzeichnis!A1" display="Zurück zum Inhaltsverzeichnis" xr:uid="{BDDA8F99-92ED-4646-AF23-99F8E9B7E2E7}"/>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Unter GS Zeesen</oddFooter>
  </headerFooter>
  <rowBreaks count="1" manualBreakCount="1">
    <brk id="156" max="16383" man="1"/>
  </rowBreaks>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sizeWithCells="1">
                  <from>
                    <xdr:col>12</xdr:col>
                    <xdr:colOff>19050</xdr:colOff>
                    <xdr:row>1</xdr:row>
                    <xdr:rowOff>38100</xdr:rowOff>
                  </from>
                  <to>
                    <xdr:col>12</xdr:col>
                    <xdr:colOff>809625</xdr:colOff>
                    <xdr:row>2</xdr:row>
                    <xdr:rowOff>19050</xdr:rowOff>
                  </to>
                </anchor>
              </controlPr>
            </control>
          </mc:Choice>
        </mc:AlternateContent>
        <mc:AlternateContent xmlns:mc="http://schemas.openxmlformats.org/markup-compatibility/2006">
          <mc:Choice Requires="x14">
            <control shapeId="106498" r:id="rId5" name="Check Box 2">
              <controlPr defaultSize="0" autoFill="0" autoLine="0" autoPict="0" altText="Hinweis 2">
                <anchor moveWithCells="1" sizeWithCells="1">
                  <from>
                    <xdr:col>12</xdr:col>
                    <xdr:colOff>19050</xdr:colOff>
                    <xdr:row>2</xdr:row>
                    <xdr:rowOff>19050</xdr:rowOff>
                  </from>
                  <to>
                    <xdr:col>12</xdr:col>
                    <xdr:colOff>809625</xdr:colOff>
                    <xdr:row>2</xdr:row>
                    <xdr:rowOff>266700</xdr:rowOff>
                  </to>
                </anchor>
              </controlPr>
            </control>
          </mc:Choice>
        </mc:AlternateContent>
        <mc:AlternateContent xmlns:mc="http://schemas.openxmlformats.org/markup-compatibility/2006">
          <mc:Choice Requires="x14">
            <control shapeId="106499" r:id="rId6" name="Check Box 3">
              <controlPr defaultSize="0" autoFill="0" autoLine="0" autoPict="0" altText="Hinweis 3">
                <anchor moveWithCells="1" sizeWithCells="1">
                  <from>
                    <xdr:col>12</xdr:col>
                    <xdr:colOff>19050</xdr:colOff>
                    <xdr:row>3</xdr:row>
                    <xdr:rowOff>9525</xdr:rowOff>
                  </from>
                  <to>
                    <xdr:col>12</xdr:col>
                    <xdr:colOff>809625</xdr:colOff>
                    <xdr:row>4</xdr:row>
                    <xdr:rowOff>57150</xdr:rowOff>
                  </to>
                </anchor>
              </controlPr>
            </control>
          </mc:Choice>
        </mc:AlternateContent>
        <mc:AlternateContent xmlns:mc="http://schemas.openxmlformats.org/markup-compatibility/2006">
          <mc:Choice Requires="x14">
            <control shapeId="106500" r:id="rId7" name="Check Box 4">
              <controlPr defaultSize="0" autoFill="0" autoLine="0" autoPict="0" altText="Hinweis 3">
                <anchor moveWithCells="1" sizeWithCells="1">
                  <from>
                    <xdr:col>12</xdr:col>
                    <xdr:colOff>19050</xdr:colOff>
                    <xdr:row>4</xdr:row>
                    <xdr:rowOff>66675</xdr:rowOff>
                  </from>
                  <to>
                    <xdr:col>12</xdr:col>
                    <xdr:colOff>809625</xdr:colOff>
                    <xdr:row>5</xdr:row>
                    <xdr:rowOff>123825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D491-A283-4BB4-B2DA-25BD479C901A}">
  <sheetPr>
    <tabColor indexed="40"/>
  </sheetPr>
  <dimension ref="A1:X131"/>
  <sheetViews>
    <sheetView showGridLines="0" zoomScaleNormal="100" workbookViewId="0">
      <pane ySplit="21" topLeftCell="A22" activePane="bottomLeft" state="frozen"/>
      <selection pane="bottomLeft"/>
    </sheetView>
  </sheetViews>
  <sheetFormatPr baseColWidth="10" defaultColWidth="0" defaultRowHeight="15" customHeight="1" x14ac:dyDescent="0.2"/>
  <cols>
    <col min="1" max="1" width="11.7109375" style="16" customWidth="1"/>
    <col min="2" max="2" width="7.7109375" style="16" customWidth="1"/>
    <col min="3" max="3" width="5.7109375" style="16" customWidth="1"/>
    <col min="4" max="4" width="8.28515625" style="16" customWidth="1"/>
    <col min="5" max="5" width="21.7109375" style="16" customWidth="1"/>
    <col min="6" max="6" width="13.5703125" style="16" bestFit="1" customWidth="1"/>
    <col min="7" max="7" width="10.7109375" style="16" customWidth="1"/>
    <col min="8" max="8" width="9.7109375" style="16" customWidth="1"/>
    <col min="9" max="9" width="11.7109375" style="16" customWidth="1"/>
    <col min="10" max="10" width="10.5703125" style="16" bestFit="1" customWidth="1"/>
    <col min="11" max="11" width="7.85546875" style="16" customWidth="1"/>
    <col min="12" max="12" width="8.7109375" style="16" customWidth="1"/>
    <col min="13" max="13" width="11.42578125" style="16" customWidth="1"/>
    <col min="14" max="14" width="9.42578125" style="16" customWidth="1"/>
    <col min="15" max="15" width="8.42578125" style="16" customWidth="1"/>
    <col min="16" max="17" width="11.42578125" style="16" customWidth="1"/>
    <col min="18" max="18" width="10.5703125" style="16" customWidth="1"/>
    <col min="19" max="19" width="25.5703125" style="16" customWidth="1"/>
    <col min="20" max="16384" width="6.42578125" style="16" hidden="1"/>
  </cols>
  <sheetData>
    <row r="1" spans="1:22" ht="15" customHeight="1" x14ac:dyDescent="0.2">
      <c r="M1" s="1" t="s">
        <v>100</v>
      </c>
    </row>
    <row r="2" spans="1:22" ht="20.45" customHeight="1" x14ac:dyDescent="0.2">
      <c r="A2" s="167" t="s">
        <v>172</v>
      </c>
      <c r="B2" s="168"/>
      <c r="C2" s="168"/>
      <c r="D2" s="168"/>
      <c r="E2" s="169"/>
      <c r="G2" s="170" t="s">
        <v>185</v>
      </c>
      <c r="H2" s="170" t="s">
        <v>177</v>
      </c>
      <c r="I2" s="170" t="s">
        <v>178</v>
      </c>
      <c r="J2" s="170" t="s">
        <v>197</v>
      </c>
      <c r="M2" s="62" t="b">
        <v>0</v>
      </c>
      <c r="N2" s="129"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129"/>
      <c r="P2" s="129"/>
      <c r="Q2" s="129"/>
    </row>
    <row r="3" spans="1:22" ht="24" customHeight="1" x14ac:dyDescent="0.2">
      <c r="A3" s="75" t="s">
        <v>180</v>
      </c>
      <c r="B3" s="76"/>
      <c r="C3" s="76"/>
      <c r="D3" s="76"/>
      <c r="E3" s="77"/>
      <c r="G3" s="171"/>
      <c r="H3" s="171"/>
      <c r="I3" s="171"/>
      <c r="J3" s="171"/>
      <c r="M3" s="62" t="b">
        <v>0</v>
      </c>
      <c r="N3" s="129"/>
      <c r="O3" s="129"/>
      <c r="P3" s="129"/>
      <c r="Q3" s="129"/>
    </row>
    <row r="4" spans="1:22" ht="18.600000000000001" customHeight="1" x14ac:dyDescent="0.2">
      <c r="A4" s="165" t="s">
        <v>91</v>
      </c>
      <c r="B4" s="153" t="str">
        <f>IF(Inhaltsverzeichnis!C3="","",Inhaltsverzeichnis!C3)</f>
        <v/>
      </c>
      <c r="C4" s="154"/>
      <c r="D4" s="154"/>
      <c r="E4" s="155"/>
      <c r="G4" s="78" t="s">
        <v>314</v>
      </c>
      <c r="H4" s="91"/>
      <c r="I4" s="79">
        <f ca="1">SUMIF('Kal Grund GS Zeesen'!J22:M131,$G$4,'Kal Grund GS Zeesen'!M22:M131)</f>
        <v>166.24</v>
      </c>
      <c r="J4" s="23">
        <f>COUNTIFS('Kal Grund GS Zeesen'!J22:M131,$G$4)</f>
        <v>5</v>
      </c>
      <c r="M4" s="62" t="b">
        <v>0</v>
      </c>
      <c r="N4" s="129"/>
      <c r="O4" s="129"/>
      <c r="P4" s="129"/>
      <c r="Q4" s="129"/>
      <c r="U4" s="78" t="s">
        <v>314</v>
      </c>
      <c r="V4" s="16">
        <v>13</v>
      </c>
    </row>
    <row r="5" spans="1:22" ht="15" customHeight="1" x14ac:dyDescent="0.2">
      <c r="A5" s="166"/>
      <c r="B5" s="156"/>
      <c r="C5" s="157"/>
      <c r="D5" s="157"/>
      <c r="E5" s="158"/>
      <c r="G5" s="78" t="s">
        <v>309</v>
      </c>
      <c r="H5" s="91"/>
      <c r="I5" s="79">
        <f ca="1">SUMIF('Kal Grund GS Zeesen'!J22:M131,$G$5,'Kal Grund GS Zeesen'!M22:M131)</f>
        <v>398.46000000000009</v>
      </c>
      <c r="J5" s="23">
        <f>COUNTIFS('Kal Grund GS Zeesen'!J22:M131,$G$5)</f>
        <v>20</v>
      </c>
      <c r="M5" s="62" t="b">
        <v>0</v>
      </c>
      <c r="N5" s="129"/>
      <c r="O5" s="129"/>
      <c r="P5" s="129"/>
      <c r="Q5" s="129"/>
      <c r="U5" s="78" t="s">
        <v>309</v>
      </c>
      <c r="V5" s="16">
        <v>15</v>
      </c>
    </row>
    <row r="6" spans="1:22" ht="15" customHeight="1" x14ac:dyDescent="0.2">
      <c r="A6" s="80" t="s">
        <v>195</v>
      </c>
      <c r="B6" s="159" t="s">
        <v>215</v>
      </c>
      <c r="C6" s="160"/>
      <c r="D6" s="160"/>
      <c r="E6" s="161"/>
      <c r="G6" s="78" t="s">
        <v>311</v>
      </c>
      <c r="H6" s="91"/>
      <c r="I6" s="79">
        <f ca="1">SUMIF('Kal Grund GS Zeesen'!J22:M131,$G$6,'Kal Grund GS Zeesen'!M22:M131)</f>
        <v>273.02</v>
      </c>
      <c r="J6" s="23">
        <f>COUNTIFS('Kal Grund GS Zeesen'!J22:M131,$G$6)</f>
        <v>6</v>
      </c>
      <c r="U6" s="78" t="s">
        <v>311</v>
      </c>
      <c r="V6" s="16">
        <v>15</v>
      </c>
    </row>
    <row r="7" spans="1:22" ht="15" customHeight="1" x14ac:dyDescent="0.2">
      <c r="A7" s="81" t="s">
        <v>193</v>
      </c>
      <c r="B7" s="162" t="s">
        <v>216</v>
      </c>
      <c r="C7" s="160"/>
      <c r="D7" s="160"/>
      <c r="E7" s="161"/>
      <c r="G7" s="78" t="s">
        <v>312</v>
      </c>
      <c r="H7" s="91"/>
      <c r="I7" s="79">
        <f ca="1">SUMIF('Kal Grund GS Zeesen'!J22:M131,$G$7,'Kal Grund GS Zeesen'!M22:M131)</f>
        <v>188.29000000000002</v>
      </c>
      <c r="J7" s="23">
        <f>COUNTIFS('Kal Grund GS Zeesen'!J22:M131,$G$7)</f>
        <v>19</v>
      </c>
      <c r="U7" s="78" t="s">
        <v>312</v>
      </c>
      <c r="V7" s="16">
        <v>7</v>
      </c>
    </row>
    <row r="8" spans="1:22" ht="15" customHeight="1" x14ac:dyDescent="0.2">
      <c r="A8" s="81" t="s">
        <v>194</v>
      </c>
      <c r="B8" s="159"/>
      <c r="C8" s="160"/>
      <c r="D8" s="160"/>
      <c r="E8" s="161"/>
      <c r="G8" s="78" t="s">
        <v>317</v>
      </c>
      <c r="H8" s="91"/>
      <c r="I8" s="79">
        <f ca="1">SUMIF('Kal Grund GS Zeesen'!J22:M131,$G$8,'Kal Grund GS Zeesen'!M22:M131)</f>
        <v>405</v>
      </c>
      <c r="J8" s="23">
        <f>COUNTIFS('Kal Grund GS Zeesen'!J22:M131,$G$8)</f>
        <v>1</v>
      </c>
      <c r="L8" s="93" t="str">
        <f>IF(N14&gt;0,"Ihre Eintragungen der Leistungswerte liegen weit über den Erfahrungswerten aus der Preisschätzung.","")</f>
        <v/>
      </c>
      <c r="U8" s="78" t="s">
        <v>317</v>
      </c>
      <c r="V8" s="16">
        <v>25.5</v>
      </c>
    </row>
    <row r="9" spans="1:22" ht="15" customHeight="1" x14ac:dyDescent="0.2">
      <c r="A9" s="80" t="s">
        <v>192</v>
      </c>
      <c r="B9" s="163" t="s">
        <v>214</v>
      </c>
      <c r="C9" s="160"/>
      <c r="D9" s="160"/>
      <c r="E9" s="161"/>
      <c r="G9" s="78" t="s">
        <v>307</v>
      </c>
      <c r="H9" s="91"/>
      <c r="I9" s="79">
        <v>407.06</v>
      </c>
      <c r="J9" s="23">
        <v>12</v>
      </c>
      <c r="L9" s="93" t="str">
        <f>IF(N14&gt;0,"Bitte prüfen Sie diese.","")</f>
        <v/>
      </c>
      <c r="U9" s="78" t="s">
        <v>310</v>
      </c>
      <c r="V9" s="16">
        <v>20</v>
      </c>
    </row>
    <row r="10" spans="1:22" ht="15" customHeight="1" x14ac:dyDescent="0.2">
      <c r="A10" s="81" t="s">
        <v>174</v>
      </c>
      <c r="B10" s="159" t="s">
        <v>217</v>
      </c>
      <c r="C10" s="160"/>
      <c r="D10" s="160"/>
      <c r="E10" s="161"/>
      <c r="G10" s="78" t="s">
        <v>316</v>
      </c>
      <c r="H10" s="91"/>
      <c r="I10" s="79">
        <v>25.310000000000002</v>
      </c>
      <c r="J10" s="23">
        <v>3</v>
      </c>
      <c r="L10" s="93" t="str">
        <f>IF(N14&gt;0,"Beachten Sie, dass Sie frei in der Kalkulation dieser Leistungswerte sind und wir durch den Hinweis","")</f>
        <v/>
      </c>
      <c r="U10" s="78" t="s">
        <v>307</v>
      </c>
      <c r="V10" s="16">
        <v>14</v>
      </c>
    </row>
    <row r="11" spans="1:22" ht="15" customHeight="1" x14ac:dyDescent="0.2">
      <c r="A11" s="81" t="s">
        <v>175</v>
      </c>
      <c r="B11" s="164" t="s">
        <v>218</v>
      </c>
      <c r="C11" s="160"/>
      <c r="D11" s="160"/>
      <c r="E11" s="161"/>
      <c r="G11" s="78" t="s">
        <v>308</v>
      </c>
      <c r="H11" s="91"/>
      <c r="I11" s="79">
        <v>1467.8600000000001</v>
      </c>
      <c r="J11" s="23">
        <v>23</v>
      </c>
      <c r="L11" s="93" t="str">
        <f>IF(N14&gt;0,"lediglich Fehleingaben vermeiden wollen.","")</f>
        <v/>
      </c>
      <c r="U11" s="78" t="s">
        <v>316</v>
      </c>
      <c r="V11" s="16">
        <v>16.5</v>
      </c>
    </row>
    <row r="12" spans="1:22" ht="15" customHeight="1" x14ac:dyDescent="0.2">
      <c r="A12" s="81" t="s">
        <v>176</v>
      </c>
      <c r="B12" s="159" t="s">
        <v>219</v>
      </c>
      <c r="C12" s="160"/>
      <c r="D12" s="160"/>
      <c r="E12" s="161"/>
      <c r="G12" s="78" t="s">
        <v>313</v>
      </c>
      <c r="H12" s="91"/>
      <c r="I12" s="79">
        <v>1194.5300000000002</v>
      </c>
      <c r="J12" s="23">
        <v>15</v>
      </c>
      <c r="U12" s="78" t="s">
        <v>308</v>
      </c>
      <c r="V12" s="16">
        <v>14</v>
      </c>
    </row>
    <row r="13" spans="1:22" ht="15" customHeight="1" x14ac:dyDescent="0.2">
      <c r="A13" s="81" t="s">
        <v>179</v>
      </c>
      <c r="B13" s="150" t="str">
        <f>HYPERLINK("http://maps.google.de/maps?hl=de&amp;bav=on.2,or.r_qf.&amp;bvm=bv.44770516,d.Yms&amp;biw=1395&amp;bih=916&amp;um=1&amp;ie=UTF-8&amp;q="&amp;B7&amp;"+"&amp;B8&amp;"+"&amp;B10&amp;"+"&amp;B11&amp;"+"&amp;B12&amp;"","In Google-Maps anzeigen (wenn Internet verfügbar)")</f>
        <v>In Google-Maps anzeigen (wenn Internet verfügbar)</v>
      </c>
      <c r="C13" s="151"/>
      <c r="D13" s="151"/>
      <c r="E13" s="152"/>
      <c r="G13" s="78" t="s">
        <v>315</v>
      </c>
      <c r="H13" s="91"/>
      <c r="I13" s="79">
        <v>416.96000000000004</v>
      </c>
      <c r="J13" s="23">
        <v>6</v>
      </c>
      <c r="U13" s="78" t="s">
        <v>313</v>
      </c>
      <c r="V13" s="16">
        <v>24</v>
      </c>
    </row>
    <row r="14" spans="1:22" ht="15" customHeight="1" x14ac:dyDescent="0.2">
      <c r="G14" s="94"/>
      <c r="N14" s="82">
        <f>COUNTIF(X22:X$131,1)</f>
        <v>0</v>
      </c>
      <c r="O14" s="16" t="str">
        <f>IF(N14&gt;0,"Wert(e) prüfen.","")</f>
        <v/>
      </c>
      <c r="S14" s="84">
        <f>IF(COUNTA($S$22:$S$131)-COUNTBLANK($S$22:$S$131)=0,"",COUNTA($S$22:$S$131)-COUNTBLANK($S$22:$S$131))</f>
        <v>110</v>
      </c>
      <c r="U14" s="78" t="s">
        <v>315</v>
      </c>
      <c r="V14" s="16">
        <v>16.5</v>
      </c>
    </row>
    <row r="15" spans="1:22" ht="15" hidden="1" customHeight="1" x14ac:dyDescent="0.2"/>
    <row r="16" spans="1:22" ht="15" hidden="1" customHeight="1" x14ac:dyDescent="0.2"/>
    <row r="17" spans="1:24" ht="15" hidden="1" customHeight="1" x14ac:dyDescent="0.2"/>
    <row r="18" spans="1:24" ht="15" hidden="1" customHeight="1" x14ac:dyDescent="0.2"/>
    <row r="19" spans="1:24" ht="15" hidden="1" customHeight="1" x14ac:dyDescent="0.2"/>
    <row r="20" spans="1:24" ht="45" customHeight="1" x14ac:dyDescent="0.2">
      <c r="A20" s="33" t="s">
        <v>92</v>
      </c>
      <c r="B20" s="33" t="s">
        <v>97</v>
      </c>
      <c r="C20" s="33" t="s">
        <v>93</v>
      </c>
      <c r="D20" s="33" t="s">
        <v>94</v>
      </c>
      <c r="E20" s="33" t="s">
        <v>98</v>
      </c>
      <c r="F20" s="33" t="s">
        <v>95</v>
      </c>
      <c r="G20" s="33" t="s">
        <v>117</v>
      </c>
      <c r="H20" s="33" t="s">
        <v>107</v>
      </c>
      <c r="I20" s="33" t="s">
        <v>108</v>
      </c>
      <c r="J20" s="33" t="s">
        <v>99</v>
      </c>
      <c r="K20" s="33" t="s">
        <v>105</v>
      </c>
      <c r="L20" s="33" t="s">
        <v>109</v>
      </c>
      <c r="M20" s="33" t="s">
        <v>110</v>
      </c>
      <c r="N20" s="33" t="s">
        <v>106</v>
      </c>
      <c r="O20" s="33" t="s">
        <v>111</v>
      </c>
      <c r="P20" s="33" t="s">
        <v>112</v>
      </c>
      <c r="Q20" s="33" t="s">
        <v>113</v>
      </c>
      <c r="R20" s="33" t="s">
        <v>135</v>
      </c>
    </row>
    <row r="21" spans="1:24" ht="29.1" customHeight="1" x14ac:dyDescent="0.2">
      <c r="A21" s="85" t="s">
        <v>120</v>
      </c>
      <c r="B21" s="60"/>
      <c r="C21" s="60"/>
      <c r="D21" s="60"/>
      <c r="E21" s="60"/>
      <c r="F21" s="60"/>
      <c r="G21" s="86">
        <f>SUM($G$22:$G$131)</f>
        <v>4942.7300000000005</v>
      </c>
      <c r="H21" s="86">
        <f>SUM($H$22:$H$131)</f>
        <v>0</v>
      </c>
      <c r="I21" s="86">
        <f>SUM($I$22:$I$131)</f>
        <v>0</v>
      </c>
      <c r="J21" s="38"/>
      <c r="K21" s="38"/>
      <c r="L21" s="87">
        <f>MAX(L22:L131)</f>
        <v>1</v>
      </c>
      <c r="M21" s="86">
        <f>SUM($M$22:$M$131)</f>
        <v>4942.7300000000005</v>
      </c>
      <c r="N21" s="38"/>
      <c r="O21" s="38"/>
      <c r="P21" s="86">
        <f>SUM($P$22:$P$131)</f>
        <v>0</v>
      </c>
      <c r="Q21" s="86">
        <f>SUM($Q$22:$Q$131)</f>
        <v>0</v>
      </c>
      <c r="R21" s="86">
        <f>ROUND(IF(Q21=0,0,Q21/L21),2)</f>
        <v>0</v>
      </c>
    </row>
    <row r="22" spans="1:24" ht="15" customHeight="1" x14ac:dyDescent="0.2">
      <c r="A22" s="78">
        <v>1</v>
      </c>
      <c r="B22" s="88">
        <v>301</v>
      </c>
      <c r="C22" s="89" t="s">
        <v>225</v>
      </c>
      <c r="D22" s="89"/>
      <c r="E22" s="89" t="s">
        <v>226</v>
      </c>
      <c r="F22" s="89" t="s">
        <v>227</v>
      </c>
      <c r="G22" s="90">
        <v>30.81</v>
      </c>
      <c r="H22" s="90"/>
      <c r="I22" s="90"/>
      <c r="J22" s="78" t="s">
        <v>307</v>
      </c>
      <c r="K22" s="78" t="s">
        <v>160</v>
      </c>
      <c r="L22" s="38">
        <f>VLOOKUP(K22,Reinigungstage!A10:D31,4,FALSE)</f>
        <v>1</v>
      </c>
      <c r="M22" s="38">
        <f t="shared" ref="M22:M49" si="0">ROUND(IF(L22=0,0,L22*G22),2)</f>
        <v>30.81</v>
      </c>
      <c r="N22" s="92">
        <f t="shared" ref="N22:N49" si="1">VLOOKUP(J22,$G$4:$H$14,2,FALSE)</f>
        <v>0</v>
      </c>
      <c r="O22" s="38">
        <f ca="1">IF('SVS GrundRG'!H61="",0,'SVS GrundRG'!H61)</f>
        <v>0</v>
      </c>
      <c r="P22" s="38">
        <f t="shared" ref="P22:P49" si="2">ROUND(IF(N22=0,0,M22/N22),2)</f>
        <v>0</v>
      </c>
      <c r="Q22" s="38">
        <f t="shared" ref="Q22:Q49" si="3">ROUND(IF(P22=0,0,P22*O22),2)</f>
        <v>0</v>
      </c>
      <c r="R22" s="38">
        <f t="shared" ref="R22:R49" si="4">ROUND(IF(P22=0,0,Q22/L22),2)</f>
        <v>0</v>
      </c>
      <c r="S22" s="16" t="str">
        <f t="shared" ref="S22:S49" si="5">IF(M22=0,"",IF(N22=0,"Leistungswert eintragen",IF(O22=0,"SVS prüfen","")))</f>
        <v>Leistungswert eintragen</v>
      </c>
      <c r="U22" s="16">
        <f t="shared" ref="U22:U49" si="6">VLOOKUP(J22,$U$4:$V$14,2,FALSE)</f>
        <v>14</v>
      </c>
      <c r="V22" s="16">
        <f t="shared" ref="V22:V49" si="7">U22*30%</f>
        <v>4.2</v>
      </c>
      <c r="W22" s="16">
        <f t="shared" ref="W22:W49" si="8">SUM(U22:V22)</f>
        <v>18.2</v>
      </c>
      <c r="X22" s="16" t="str">
        <f t="shared" ref="X22:X49" si="9">IF(N22=0,"",IF(W22&lt;N22,1,IF(W22&gt;=N22,0,"")))</f>
        <v/>
      </c>
    </row>
    <row r="23" spans="1:24" ht="15" customHeight="1" x14ac:dyDescent="0.2">
      <c r="A23" s="78">
        <v>2</v>
      </c>
      <c r="B23" s="88">
        <v>302</v>
      </c>
      <c r="C23" s="89" t="s">
        <v>225</v>
      </c>
      <c r="D23" s="89"/>
      <c r="E23" s="89" t="s">
        <v>228</v>
      </c>
      <c r="F23" s="89" t="s">
        <v>229</v>
      </c>
      <c r="G23" s="90">
        <v>71.099999999999994</v>
      </c>
      <c r="H23" s="90"/>
      <c r="I23" s="90"/>
      <c r="J23" s="78" t="s">
        <v>308</v>
      </c>
      <c r="K23" s="78" t="s">
        <v>160</v>
      </c>
      <c r="L23" s="38">
        <f>VLOOKUP(K23,Reinigungstage!A10:D31,4,FALSE)</f>
        <v>1</v>
      </c>
      <c r="M23" s="38">
        <f t="shared" si="0"/>
        <v>71.099999999999994</v>
      </c>
      <c r="N23" s="92">
        <f t="shared" si="1"/>
        <v>0</v>
      </c>
      <c r="O23" s="38">
        <f ca="1">IF('SVS GrundRG'!H61="",0,'SVS GrundRG'!H61)</f>
        <v>0</v>
      </c>
      <c r="P23" s="38">
        <f t="shared" si="2"/>
        <v>0</v>
      </c>
      <c r="Q23" s="38">
        <f t="shared" si="3"/>
        <v>0</v>
      </c>
      <c r="R23" s="38">
        <f t="shared" si="4"/>
        <v>0</v>
      </c>
      <c r="S23" s="16" t="str">
        <f t="shared" si="5"/>
        <v>Leistungswert eintragen</v>
      </c>
      <c r="U23" s="16">
        <f t="shared" si="6"/>
        <v>14</v>
      </c>
      <c r="V23" s="16">
        <f t="shared" si="7"/>
        <v>4.2</v>
      </c>
      <c r="W23" s="16">
        <f t="shared" si="8"/>
        <v>18.2</v>
      </c>
      <c r="X23" s="16" t="str">
        <f t="shared" si="9"/>
        <v/>
      </c>
    </row>
    <row r="24" spans="1:24" ht="15" customHeight="1" x14ac:dyDescent="0.2">
      <c r="A24" s="78">
        <v>3</v>
      </c>
      <c r="B24" s="88">
        <v>303</v>
      </c>
      <c r="C24" s="89" t="s">
        <v>225</v>
      </c>
      <c r="D24" s="89"/>
      <c r="E24" s="89" t="s">
        <v>230</v>
      </c>
      <c r="F24" s="89" t="s">
        <v>229</v>
      </c>
      <c r="G24" s="90">
        <v>21.69</v>
      </c>
      <c r="H24" s="90"/>
      <c r="I24" s="90"/>
      <c r="J24" s="78" t="s">
        <v>309</v>
      </c>
      <c r="K24" s="78" t="s">
        <v>160</v>
      </c>
      <c r="L24" s="38">
        <f>VLOOKUP(K24,Reinigungstage!A10:D31,4,FALSE)</f>
        <v>1</v>
      </c>
      <c r="M24" s="38">
        <f t="shared" si="0"/>
        <v>21.69</v>
      </c>
      <c r="N24" s="92">
        <f t="shared" si="1"/>
        <v>0</v>
      </c>
      <c r="O24" s="38">
        <f ca="1">IF('SVS GrundRG'!H61="",0,'SVS GrundRG'!H61)</f>
        <v>0</v>
      </c>
      <c r="P24" s="38">
        <f t="shared" si="2"/>
        <v>0</v>
      </c>
      <c r="Q24" s="38">
        <f t="shared" si="3"/>
        <v>0</v>
      </c>
      <c r="R24" s="38">
        <f t="shared" si="4"/>
        <v>0</v>
      </c>
      <c r="S24" s="16" t="str">
        <f t="shared" si="5"/>
        <v>Leistungswert eintragen</v>
      </c>
      <c r="U24" s="16">
        <f t="shared" si="6"/>
        <v>15</v>
      </c>
      <c r="V24" s="16">
        <f t="shared" si="7"/>
        <v>4.5</v>
      </c>
      <c r="W24" s="16">
        <f t="shared" si="8"/>
        <v>19.5</v>
      </c>
      <c r="X24" s="16" t="str">
        <f t="shared" si="9"/>
        <v/>
      </c>
    </row>
    <row r="25" spans="1:24" ht="15" customHeight="1" x14ac:dyDescent="0.2">
      <c r="A25" s="78">
        <v>4</v>
      </c>
      <c r="B25" s="88">
        <v>305</v>
      </c>
      <c r="C25" s="89" t="s">
        <v>225</v>
      </c>
      <c r="D25" s="89"/>
      <c r="E25" s="89" t="s">
        <v>232</v>
      </c>
      <c r="F25" s="89" t="s">
        <v>229</v>
      </c>
      <c r="G25" s="90">
        <v>66.900000000000006</v>
      </c>
      <c r="H25" s="90"/>
      <c r="I25" s="90"/>
      <c r="J25" s="78" t="s">
        <v>311</v>
      </c>
      <c r="K25" s="78" t="s">
        <v>160</v>
      </c>
      <c r="L25" s="38">
        <f>VLOOKUP(K25,Reinigungstage!A10:D31,4,FALSE)</f>
        <v>1</v>
      </c>
      <c r="M25" s="38">
        <f t="shared" si="0"/>
        <v>66.900000000000006</v>
      </c>
      <c r="N25" s="92">
        <f t="shared" si="1"/>
        <v>0</v>
      </c>
      <c r="O25" s="38">
        <f ca="1">IF('SVS GrundRG'!H61="",0,'SVS GrundRG'!H61)</f>
        <v>0</v>
      </c>
      <c r="P25" s="38">
        <f t="shared" si="2"/>
        <v>0</v>
      </c>
      <c r="Q25" s="38">
        <f t="shared" si="3"/>
        <v>0</v>
      </c>
      <c r="R25" s="38">
        <f t="shared" si="4"/>
        <v>0</v>
      </c>
      <c r="S25" s="16" t="str">
        <f t="shared" si="5"/>
        <v>Leistungswert eintragen</v>
      </c>
      <c r="U25" s="16">
        <f t="shared" si="6"/>
        <v>15</v>
      </c>
      <c r="V25" s="16">
        <f t="shared" si="7"/>
        <v>4.5</v>
      </c>
      <c r="W25" s="16">
        <f t="shared" si="8"/>
        <v>19.5</v>
      </c>
      <c r="X25" s="16" t="str">
        <f t="shared" si="9"/>
        <v/>
      </c>
    </row>
    <row r="26" spans="1:24" ht="15" customHeight="1" x14ac:dyDescent="0.2">
      <c r="A26" s="78">
        <v>5</v>
      </c>
      <c r="B26" s="88">
        <v>311</v>
      </c>
      <c r="C26" s="89" t="s">
        <v>225</v>
      </c>
      <c r="D26" s="89"/>
      <c r="E26" s="89" t="s">
        <v>233</v>
      </c>
      <c r="F26" s="89" t="s">
        <v>229</v>
      </c>
      <c r="G26" s="90">
        <v>67.319999999999993</v>
      </c>
      <c r="H26" s="90"/>
      <c r="I26" s="90"/>
      <c r="J26" s="78" t="s">
        <v>308</v>
      </c>
      <c r="K26" s="78" t="s">
        <v>160</v>
      </c>
      <c r="L26" s="38">
        <f>VLOOKUP(K26,Reinigungstage!A10:D31,4,FALSE)</f>
        <v>1</v>
      </c>
      <c r="M26" s="38">
        <f t="shared" si="0"/>
        <v>67.319999999999993</v>
      </c>
      <c r="N26" s="92">
        <f t="shared" si="1"/>
        <v>0</v>
      </c>
      <c r="O26" s="38">
        <f ca="1">IF('SVS GrundRG'!H61="",0,'SVS GrundRG'!H61)</f>
        <v>0</v>
      </c>
      <c r="P26" s="38">
        <f t="shared" si="2"/>
        <v>0</v>
      </c>
      <c r="Q26" s="38">
        <f t="shared" si="3"/>
        <v>0</v>
      </c>
      <c r="R26" s="38">
        <f t="shared" si="4"/>
        <v>0</v>
      </c>
      <c r="S26" s="16" t="str">
        <f t="shared" si="5"/>
        <v>Leistungswert eintragen</v>
      </c>
      <c r="U26" s="16">
        <f t="shared" si="6"/>
        <v>14</v>
      </c>
      <c r="V26" s="16">
        <f t="shared" si="7"/>
        <v>4.2</v>
      </c>
      <c r="W26" s="16">
        <f t="shared" si="8"/>
        <v>18.2</v>
      </c>
      <c r="X26" s="16" t="str">
        <f t="shared" si="9"/>
        <v/>
      </c>
    </row>
    <row r="27" spans="1:24" ht="15" customHeight="1" x14ac:dyDescent="0.2">
      <c r="A27" s="78">
        <v>6</v>
      </c>
      <c r="B27" s="88">
        <v>312</v>
      </c>
      <c r="C27" s="89" t="s">
        <v>225</v>
      </c>
      <c r="D27" s="89"/>
      <c r="E27" s="89" t="s">
        <v>234</v>
      </c>
      <c r="F27" s="89" t="s">
        <v>229</v>
      </c>
      <c r="G27" s="90">
        <v>16.29</v>
      </c>
      <c r="H27" s="90"/>
      <c r="I27" s="90"/>
      <c r="J27" s="78" t="s">
        <v>309</v>
      </c>
      <c r="K27" s="78" t="s">
        <v>160</v>
      </c>
      <c r="L27" s="38">
        <f>VLOOKUP(K27,Reinigungstage!A10:D31,4,FALSE)</f>
        <v>1</v>
      </c>
      <c r="M27" s="38">
        <f t="shared" si="0"/>
        <v>16.29</v>
      </c>
      <c r="N27" s="92">
        <f t="shared" si="1"/>
        <v>0</v>
      </c>
      <c r="O27" s="38">
        <f ca="1">IF('SVS GrundRG'!H61="",0,'SVS GrundRG'!H61)</f>
        <v>0</v>
      </c>
      <c r="P27" s="38">
        <f t="shared" si="2"/>
        <v>0</v>
      </c>
      <c r="Q27" s="38">
        <f t="shared" si="3"/>
        <v>0</v>
      </c>
      <c r="R27" s="38">
        <f t="shared" si="4"/>
        <v>0</v>
      </c>
      <c r="S27" s="16" t="str">
        <f t="shared" si="5"/>
        <v>Leistungswert eintragen</v>
      </c>
      <c r="U27" s="16">
        <f t="shared" si="6"/>
        <v>15</v>
      </c>
      <c r="V27" s="16">
        <f t="shared" si="7"/>
        <v>4.5</v>
      </c>
      <c r="W27" s="16">
        <f t="shared" si="8"/>
        <v>19.5</v>
      </c>
      <c r="X27" s="16" t="str">
        <f t="shared" si="9"/>
        <v/>
      </c>
    </row>
    <row r="28" spans="1:24" ht="15" customHeight="1" x14ac:dyDescent="0.2">
      <c r="A28" s="78">
        <v>7</v>
      </c>
      <c r="B28" s="88">
        <v>313</v>
      </c>
      <c r="C28" s="89" t="s">
        <v>225</v>
      </c>
      <c r="D28" s="89"/>
      <c r="E28" s="89" t="s">
        <v>233</v>
      </c>
      <c r="F28" s="89" t="s">
        <v>229</v>
      </c>
      <c r="G28" s="90">
        <v>59.38</v>
      </c>
      <c r="H28" s="90"/>
      <c r="I28" s="90"/>
      <c r="J28" s="78" t="s">
        <v>308</v>
      </c>
      <c r="K28" s="78" t="s">
        <v>160</v>
      </c>
      <c r="L28" s="38">
        <f>VLOOKUP(K28,Reinigungstage!A10:D31,4,FALSE)</f>
        <v>1</v>
      </c>
      <c r="M28" s="38">
        <f t="shared" si="0"/>
        <v>59.38</v>
      </c>
      <c r="N28" s="92">
        <f t="shared" si="1"/>
        <v>0</v>
      </c>
      <c r="O28" s="38">
        <f ca="1">IF('SVS GrundRG'!H61="",0,'SVS GrundRG'!H61)</f>
        <v>0</v>
      </c>
      <c r="P28" s="38">
        <f t="shared" si="2"/>
        <v>0</v>
      </c>
      <c r="Q28" s="38">
        <f t="shared" si="3"/>
        <v>0</v>
      </c>
      <c r="R28" s="38">
        <f t="shared" si="4"/>
        <v>0</v>
      </c>
      <c r="S28" s="16" t="str">
        <f t="shared" si="5"/>
        <v>Leistungswert eintragen</v>
      </c>
      <c r="U28" s="16">
        <f t="shared" si="6"/>
        <v>14</v>
      </c>
      <c r="V28" s="16">
        <f t="shared" si="7"/>
        <v>4.2</v>
      </c>
      <c r="W28" s="16">
        <f t="shared" si="8"/>
        <v>18.2</v>
      </c>
      <c r="X28" s="16" t="str">
        <f t="shared" si="9"/>
        <v/>
      </c>
    </row>
    <row r="29" spans="1:24" ht="15" customHeight="1" x14ac:dyDescent="0.2">
      <c r="A29" s="78">
        <v>8</v>
      </c>
      <c r="B29" s="88">
        <v>314</v>
      </c>
      <c r="C29" s="89" t="s">
        <v>225</v>
      </c>
      <c r="D29" s="89"/>
      <c r="E29" s="89" t="s">
        <v>233</v>
      </c>
      <c r="F29" s="89" t="s">
        <v>229</v>
      </c>
      <c r="G29" s="90">
        <v>59.38</v>
      </c>
      <c r="H29" s="90"/>
      <c r="I29" s="90"/>
      <c r="J29" s="78" t="s">
        <v>308</v>
      </c>
      <c r="K29" s="78" t="s">
        <v>160</v>
      </c>
      <c r="L29" s="38">
        <f>VLOOKUP(K29,Reinigungstage!A10:D31,4,FALSE)</f>
        <v>1</v>
      </c>
      <c r="M29" s="38">
        <f t="shared" si="0"/>
        <v>59.38</v>
      </c>
      <c r="N29" s="92">
        <f t="shared" si="1"/>
        <v>0</v>
      </c>
      <c r="O29" s="38">
        <f ca="1">IF('SVS GrundRG'!H61="",0,'SVS GrundRG'!H61)</f>
        <v>0</v>
      </c>
      <c r="P29" s="38">
        <f t="shared" si="2"/>
        <v>0</v>
      </c>
      <c r="Q29" s="38">
        <f t="shared" si="3"/>
        <v>0</v>
      </c>
      <c r="R29" s="38">
        <f t="shared" si="4"/>
        <v>0</v>
      </c>
      <c r="S29" s="16" t="str">
        <f t="shared" si="5"/>
        <v>Leistungswert eintragen</v>
      </c>
      <c r="U29" s="16">
        <f t="shared" si="6"/>
        <v>14</v>
      </c>
      <c r="V29" s="16">
        <f t="shared" si="7"/>
        <v>4.2</v>
      </c>
      <c r="W29" s="16">
        <f t="shared" si="8"/>
        <v>18.2</v>
      </c>
      <c r="X29" s="16" t="str">
        <f t="shared" si="9"/>
        <v/>
      </c>
    </row>
    <row r="30" spans="1:24" ht="15" customHeight="1" x14ac:dyDescent="0.2">
      <c r="A30" s="78">
        <v>9</v>
      </c>
      <c r="B30" s="88">
        <v>315</v>
      </c>
      <c r="C30" s="89" t="s">
        <v>225</v>
      </c>
      <c r="D30" s="89"/>
      <c r="E30" s="89" t="s">
        <v>234</v>
      </c>
      <c r="F30" s="89" t="s">
        <v>229</v>
      </c>
      <c r="G30" s="90">
        <v>15.67</v>
      </c>
      <c r="H30" s="90"/>
      <c r="I30" s="90"/>
      <c r="J30" s="78" t="s">
        <v>309</v>
      </c>
      <c r="K30" s="78" t="s">
        <v>160</v>
      </c>
      <c r="L30" s="38">
        <f>VLOOKUP(K30,Reinigungstage!A10:D31,4,FALSE)</f>
        <v>1</v>
      </c>
      <c r="M30" s="38">
        <f t="shared" si="0"/>
        <v>15.67</v>
      </c>
      <c r="N30" s="92">
        <f t="shared" si="1"/>
        <v>0</v>
      </c>
      <c r="O30" s="38">
        <f ca="1">IF('SVS GrundRG'!H61="",0,'SVS GrundRG'!H61)</f>
        <v>0</v>
      </c>
      <c r="P30" s="38">
        <f t="shared" si="2"/>
        <v>0</v>
      </c>
      <c r="Q30" s="38">
        <f t="shared" si="3"/>
        <v>0</v>
      </c>
      <c r="R30" s="38">
        <f t="shared" si="4"/>
        <v>0</v>
      </c>
      <c r="S30" s="16" t="str">
        <f t="shared" si="5"/>
        <v>Leistungswert eintragen</v>
      </c>
      <c r="U30" s="16">
        <f t="shared" si="6"/>
        <v>15</v>
      </c>
      <c r="V30" s="16">
        <f t="shared" si="7"/>
        <v>4.5</v>
      </c>
      <c r="W30" s="16">
        <f t="shared" si="8"/>
        <v>19.5</v>
      </c>
      <c r="X30" s="16" t="str">
        <f t="shared" si="9"/>
        <v/>
      </c>
    </row>
    <row r="31" spans="1:24" ht="15" customHeight="1" x14ac:dyDescent="0.2">
      <c r="A31" s="78">
        <v>10</v>
      </c>
      <c r="B31" s="88">
        <v>316</v>
      </c>
      <c r="C31" s="89" t="s">
        <v>225</v>
      </c>
      <c r="D31" s="89"/>
      <c r="E31" s="89" t="s">
        <v>233</v>
      </c>
      <c r="F31" s="89" t="s">
        <v>229</v>
      </c>
      <c r="G31" s="90">
        <v>59.38</v>
      </c>
      <c r="H31" s="90"/>
      <c r="I31" s="90"/>
      <c r="J31" s="78" t="s">
        <v>308</v>
      </c>
      <c r="K31" s="78" t="s">
        <v>160</v>
      </c>
      <c r="L31" s="38">
        <f>VLOOKUP(K31,Reinigungstage!A10:D31,4,FALSE)</f>
        <v>1</v>
      </c>
      <c r="M31" s="38">
        <f t="shared" si="0"/>
        <v>59.38</v>
      </c>
      <c r="N31" s="92">
        <f t="shared" si="1"/>
        <v>0</v>
      </c>
      <c r="O31" s="38">
        <f ca="1">IF('SVS GrundRG'!H61="",0,'SVS GrundRG'!H61)</f>
        <v>0</v>
      </c>
      <c r="P31" s="38">
        <f t="shared" si="2"/>
        <v>0</v>
      </c>
      <c r="Q31" s="38">
        <f t="shared" si="3"/>
        <v>0</v>
      </c>
      <c r="R31" s="38">
        <f t="shared" si="4"/>
        <v>0</v>
      </c>
      <c r="S31" s="16" t="str">
        <f t="shared" si="5"/>
        <v>Leistungswert eintragen</v>
      </c>
      <c r="U31" s="16">
        <f t="shared" si="6"/>
        <v>14</v>
      </c>
      <c r="V31" s="16">
        <f t="shared" si="7"/>
        <v>4.2</v>
      </c>
      <c r="W31" s="16">
        <f t="shared" si="8"/>
        <v>18.2</v>
      </c>
      <c r="X31" s="16" t="str">
        <f t="shared" si="9"/>
        <v/>
      </c>
    </row>
    <row r="32" spans="1:24" ht="15" customHeight="1" x14ac:dyDescent="0.2">
      <c r="A32" s="78">
        <v>11</v>
      </c>
      <c r="B32" s="88">
        <v>317</v>
      </c>
      <c r="C32" s="89" t="s">
        <v>225</v>
      </c>
      <c r="D32" s="89"/>
      <c r="E32" s="89" t="s">
        <v>233</v>
      </c>
      <c r="F32" s="89" t="s">
        <v>229</v>
      </c>
      <c r="G32" s="90">
        <v>59.39</v>
      </c>
      <c r="H32" s="90"/>
      <c r="I32" s="90"/>
      <c r="J32" s="78" t="s">
        <v>308</v>
      </c>
      <c r="K32" s="78" t="s">
        <v>160</v>
      </c>
      <c r="L32" s="38">
        <f>VLOOKUP(K32,Reinigungstage!A10:D31,4,FALSE)</f>
        <v>1</v>
      </c>
      <c r="M32" s="38">
        <f t="shared" si="0"/>
        <v>59.39</v>
      </c>
      <c r="N32" s="92">
        <f t="shared" si="1"/>
        <v>0</v>
      </c>
      <c r="O32" s="38">
        <f ca="1">IF('SVS GrundRG'!H61="",0,'SVS GrundRG'!H61)</f>
        <v>0</v>
      </c>
      <c r="P32" s="38">
        <f t="shared" si="2"/>
        <v>0</v>
      </c>
      <c r="Q32" s="38">
        <f t="shared" si="3"/>
        <v>0</v>
      </c>
      <c r="R32" s="38">
        <f t="shared" si="4"/>
        <v>0</v>
      </c>
      <c r="S32" s="16" t="str">
        <f t="shared" si="5"/>
        <v>Leistungswert eintragen</v>
      </c>
      <c r="U32" s="16">
        <f t="shared" si="6"/>
        <v>14</v>
      </c>
      <c r="V32" s="16">
        <f t="shared" si="7"/>
        <v>4.2</v>
      </c>
      <c r="W32" s="16">
        <f t="shared" si="8"/>
        <v>18.2</v>
      </c>
      <c r="X32" s="16" t="str">
        <f t="shared" si="9"/>
        <v/>
      </c>
    </row>
    <row r="33" spans="1:24" ht="15" customHeight="1" x14ac:dyDescent="0.2">
      <c r="A33" s="78">
        <v>12</v>
      </c>
      <c r="B33" s="88">
        <v>318</v>
      </c>
      <c r="C33" s="89" t="s">
        <v>225</v>
      </c>
      <c r="D33" s="89"/>
      <c r="E33" s="89" t="s">
        <v>234</v>
      </c>
      <c r="F33" s="89" t="s">
        <v>229</v>
      </c>
      <c r="G33" s="90">
        <v>16.29</v>
      </c>
      <c r="H33" s="90"/>
      <c r="I33" s="90"/>
      <c r="J33" s="78" t="s">
        <v>309</v>
      </c>
      <c r="K33" s="78" t="s">
        <v>160</v>
      </c>
      <c r="L33" s="38">
        <f>VLOOKUP(K33,Reinigungstage!A10:D31,4,FALSE)</f>
        <v>1</v>
      </c>
      <c r="M33" s="38">
        <f t="shared" si="0"/>
        <v>16.29</v>
      </c>
      <c r="N33" s="92">
        <f t="shared" si="1"/>
        <v>0</v>
      </c>
      <c r="O33" s="38">
        <f ca="1">IF('SVS GrundRG'!H61="",0,'SVS GrundRG'!H61)</f>
        <v>0</v>
      </c>
      <c r="P33" s="38">
        <f t="shared" si="2"/>
        <v>0</v>
      </c>
      <c r="Q33" s="38">
        <f t="shared" si="3"/>
        <v>0</v>
      </c>
      <c r="R33" s="38">
        <f t="shared" si="4"/>
        <v>0</v>
      </c>
      <c r="S33" s="16" t="str">
        <f t="shared" si="5"/>
        <v>Leistungswert eintragen</v>
      </c>
      <c r="U33" s="16">
        <f t="shared" si="6"/>
        <v>15</v>
      </c>
      <c r="V33" s="16">
        <f t="shared" si="7"/>
        <v>4.5</v>
      </c>
      <c r="W33" s="16">
        <f t="shared" si="8"/>
        <v>19.5</v>
      </c>
      <c r="X33" s="16" t="str">
        <f t="shared" si="9"/>
        <v/>
      </c>
    </row>
    <row r="34" spans="1:24" ht="15" customHeight="1" x14ac:dyDescent="0.2">
      <c r="A34" s="78">
        <v>13</v>
      </c>
      <c r="B34" s="88">
        <v>319</v>
      </c>
      <c r="C34" s="89" t="s">
        <v>225</v>
      </c>
      <c r="D34" s="89"/>
      <c r="E34" s="89" t="s">
        <v>233</v>
      </c>
      <c r="F34" s="89" t="s">
        <v>229</v>
      </c>
      <c r="G34" s="90">
        <v>67.33</v>
      </c>
      <c r="H34" s="90"/>
      <c r="I34" s="90"/>
      <c r="J34" s="78" t="s">
        <v>308</v>
      </c>
      <c r="K34" s="78" t="s">
        <v>160</v>
      </c>
      <c r="L34" s="38">
        <f>VLOOKUP(K34,Reinigungstage!A10:D31,4,FALSE)</f>
        <v>1</v>
      </c>
      <c r="M34" s="38">
        <f t="shared" si="0"/>
        <v>67.33</v>
      </c>
      <c r="N34" s="92">
        <f t="shared" si="1"/>
        <v>0</v>
      </c>
      <c r="O34" s="38">
        <f ca="1">IF('SVS GrundRG'!H61="",0,'SVS GrundRG'!H61)</f>
        <v>0</v>
      </c>
      <c r="P34" s="38">
        <f t="shared" si="2"/>
        <v>0</v>
      </c>
      <c r="Q34" s="38">
        <f t="shared" si="3"/>
        <v>0</v>
      </c>
      <c r="R34" s="38">
        <f t="shared" si="4"/>
        <v>0</v>
      </c>
      <c r="S34" s="16" t="str">
        <f t="shared" si="5"/>
        <v>Leistungswert eintragen</v>
      </c>
      <c r="U34" s="16">
        <f t="shared" si="6"/>
        <v>14</v>
      </c>
      <c r="V34" s="16">
        <f t="shared" si="7"/>
        <v>4.2</v>
      </c>
      <c r="W34" s="16">
        <f t="shared" si="8"/>
        <v>18.2</v>
      </c>
      <c r="X34" s="16" t="str">
        <f t="shared" si="9"/>
        <v/>
      </c>
    </row>
    <row r="35" spans="1:24" ht="15" customHeight="1" x14ac:dyDescent="0.2">
      <c r="A35" s="78">
        <v>14</v>
      </c>
      <c r="B35" s="88">
        <v>321</v>
      </c>
      <c r="C35" s="89" t="s">
        <v>225</v>
      </c>
      <c r="D35" s="89"/>
      <c r="E35" s="89" t="s">
        <v>232</v>
      </c>
      <c r="F35" s="89" t="s">
        <v>229</v>
      </c>
      <c r="G35" s="90">
        <v>45.38</v>
      </c>
      <c r="H35" s="90"/>
      <c r="I35" s="90"/>
      <c r="J35" s="78" t="s">
        <v>311</v>
      </c>
      <c r="K35" s="78" t="s">
        <v>160</v>
      </c>
      <c r="L35" s="38">
        <f>VLOOKUP(K35,Reinigungstage!A10:D31,4,FALSE)</f>
        <v>1</v>
      </c>
      <c r="M35" s="38">
        <f t="shared" si="0"/>
        <v>45.38</v>
      </c>
      <c r="N35" s="92">
        <f t="shared" si="1"/>
        <v>0</v>
      </c>
      <c r="O35" s="38">
        <f ca="1">IF('SVS GrundRG'!H61="",0,'SVS GrundRG'!H61)</f>
        <v>0</v>
      </c>
      <c r="P35" s="38">
        <f t="shared" si="2"/>
        <v>0</v>
      </c>
      <c r="Q35" s="38">
        <f t="shared" si="3"/>
        <v>0</v>
      </c>
      <c r="R35" s="38">
        <f t="shared" si="4"/>
        <v>0</v>
      </c>
      <c r="S35" s="16" t="str">
        <f t="shared" si="5"/>
        <v>Leistungswert eintragen</v>
      </c>
      <c r="U35" s="16">
        <f t="shared" si="6"/>
        <v>15</v>
      </c>
      <c r="V35" s="16">
        <f t="shared" si="7"/>
        <v>4.5</v>
      </c>
      <c r="W35" s="16">
        <f t="shared" si="8"/>
        <v>19.5</v>
      </c>
      <c r="X35" s="16" t="str">
        <f t="shared" si="9"/>
        <v/>
      </c>
    </row>
    <row r="36" spans="1:24" ht="15" customHeight="1" x14ac:dyDescent="0.2">
      <c r="A36" s="78">
        <v>15</v>
      </c>
      <c r="B36" s="88">
        <v>322</v>
      </c>
      <c r="C36" s="89" t="s">
        <v>225</v>
      </c>
      <c r="D36" s="89"/>
      <c r="E36" s="89" t="s">
        <v>232</v>
      </c>
      <c r="F36" s="89" t="s">
        <v>229</v>
      </c>
      <c r="G36" s="90">
        <v>45.84</v>
      </c>
      <c r="H36" s="90"/>
      <c r="I36" s="90"/>
      <c r="J36" s="78" t="s">
        <v>311</v>
      </c>
      <c r="K36" s="78" t="s">
        <v>160</v>
      </c>
      <c r="L36" s="38">
        <f>VLOOKUP(K36,Reinigungstage!A10:D31,4,FALSE)</f>
        <v>1</v>
      </c>
      <c r="M36" s="38">
        <f t="shared" si="0"/>
        <v>45.84</v>
      </c>
      <c r="N36" s="92">
        <f t="shared" si="1"/>
        <v>0</v>
      </c>
      <c r="O36" s="38">
        <f ca="1">IF('SVS GrundRG'!H61="",0,'SVS GrundRG'!H61)</f>
        <v>0</v>
      </c>
      <c r="P36" s="38">
        <f t="shared" si="2"/>
        <v>0</v>
      </c>
      <c r="Q36" s="38">
        <f t="shared" si="3"/>
        <v>0</v>
      </c>
      <c r="R36" s="38">
        <f t="shared" si="4"/>
        <v>0</v>
      </c>
      <c r="S36" s="16" t="str">
        <f t="shared" si="5"/>
        <v>Leistungswert eintragen</v>
      </c>
      <c r="U36" s="16">
        <f t="shared" si="6"/>
        <v>15</v>
      </c>
      <c r="V36" s="16">
        <f t="shared" si="7"/>
        <v>4.5</v>
      </c>
      <c r="W36" s="16">
        <f t="shared" si="8"/>
        <v>19.5</v>
      </c>
      <c r="X36" s="16" t="str">
        <f t="shared" si="9"/>
        <v/>
      </c>
    </row>
    <row r="37" spans="1:24" ht="15" customHeight="1" x14ac:dyDescent="0.2">
      <c r="A37" s="78">
        <v>16</v>
      </c>
      <c r="B37" s="88">
        <v>323</v>
      </c>
      <c r="C37" s="89" t="s">
        <v>225</v>
      </c>
      <c r="D37" s="89"/>
      <c r="E37" s="89" t="s">
        <v>235</v>
      </c>
      <c r="F37" s="89" t="s">
        <v>227</v>
      </c>
      <c r="G37" s="90">
        <v>17.47</v>
      </c>
      <c r="H37" s="90"/>
      <c r="I37" s="90"/>
      <c r="J37" s="78" t="s">
        <v>312</v>
      </c>
      <c r="K37" s="78" t="s">
        <v>160</v>
      </c>
      <c r="L37" s="38">
        <f>VLOOKUP(K37,Reinigungstage!A10:D31,4,FALSE)</f>
        <v>1</v>
      </c>
      <c r="M37" s="38">
        <f t="shared" si="0"/>
        <v>17.47</v>
      </c>
      <c r="N37" s="92">
        <f t="shared" si="1"/>
        <v>0</v>
      </c>
      <c r="O37" s="38">
        <f ca="1">IF('SVS GrundRG'!H61="",0,'SVS GrundRG'!H61)</f>
        <v>0</v>
      </c>
      <c r="P37" s="38">
        <f t="shared" si="2"/>
        <v>0</v>
      </c>
      <c r="Q37" s="38">
        <f t="shared" si="3"/>
        <v>0</v>
      </c>
      <c r="R37" s="38">
        <f t="shared" si="4"/>
        <v>0</v>
      </c>
      <c r="S37" s="16" t="str">
        <f t="shared" si="5"/>
        <v>Leistungswert eintragen</v>
      </c>
      <c r="U37" s="16">
        <f t="shared" si="6"/>
        <v>7</v>
      </c>
      <c r="V37" s="16">
        <f t="shared" si="7"/>
        <v>2.1</v>
      </c>
      <c r="W37" s="16">
        <f t="shared" si="8"/>
        <v>9.1</v>
      </c>
      <c r="X37" s="16" t="str">
        <f t="shared" si="9"/>
        <v/>
      </c>
    </row>
    <row r="38" spans="1:24" ht="15" customHeight="1" x14ac:dyDescent="0.2">
      <c r="A38" s="78">
        <v>17</v>
      </c>
      <c r="B38" s="88">
        <v>324</v>
      </c>
      <c r="C38" s="89" t="s">
        <v>225</v>
      </c>
      <c r="D38" s="89"/>
      <c r="E38" s="89" t="s">
        <v>236</v>
      </c>
      <c r="F38" s="89" t="s">
        <v>227</v>
      </c>
      <c r="G38" s="90">
        <v>5.0599999999999996</v>
      </c>
      <c r="H38" s="90"/>
      <c r="I38" s="90"/>
      <c r="J38" s="78" t="s">
        <v>312</v>
      </c>
      <c r="K38" s="78" t="s">
        <v>160</v>
      </c>
      <c r="L38" s="38">
        <f>VLOOKUP(K38,Reinigungstage!A10:D31,4,FALSE)</f>
        <v>1</v>
      </c>
      <c r="M38" s="38">
        <f t="shared" si="0"/>
        <v>5.0599999999999996</v>
      </c>
      <c r="N38" s="92">
        <f t="shared" si="1"/>
        <v>0</v>
      </c>
      <c r="O38" s="38">
        <f ca="1">IF('SVS GrundRG'!H61="",0,'SVS GrundRG'!H61)</f>
        <v>0</v>
      </c>
      <c r="P38" s="38">
        <f t="shared" si="2"/>
        <v>0</v>
      </c>
      <c r="Q38" s="38">
        <f t="shared" si="3"/>
        <v>0</v>
      </c>
      <c r="R38" s="38">
        <f t="shared" si="4"/>
        <v>0</v>
      </c>
      <c r="S38" s="16" t="str">
        <f t="shared" si="5"/>
        <v>Leistungswert eintragen</v>
      </c>
      <c r="U38" s="16">
        <f t="shared" si="6"/>
        <v>7</v>
      </c>
      <c r="V38" s="16">
        <f t="shared" si="7"/>
        <v>2.1</v>
      </c>
      <c r="W38" s="16">
        <f t="shared" si="8"/>
        <v>9.1</v>
      </c>
      <c r="X38" s="16" t="str">
        <f t="shared" si="9"/>
        <v/>
      </c>
    </row>
    <row r="39" spans="1:24" ht="15" customHeight="1" x14ac:dyDescent="0.2">
      <c r="A39" s="78">
        <v>18</v>
      </c>
      <c r="B39" s="88">
        <v>325</v>
      </c>
      <c r="C39" s="89" t="s">
        <v>225</v>
      </c>
      <c r="D39" s="89"/>
      <c r="E39" s="89" t="s">
        <v>237</v>
      </c>
      <c r="F39" s="89" t="s">
        <v>227</v>
      </c>
      <c r="G39" s="90">
        <v>16.88</v>
      </c>
      <c r="H39" s="90"/>
      <c r="I39" s="90"/>
      <c r="J39" s="78" t="s">
        <v>312</v>
      </c>
      <c r="K39" s="78" t="s">
        <v>160</v>
      </c>
      <c r="L39" s="38">
        <f>VLOOKUP(K39,Reinigungstage!A10:D31,4,FALSE)</f>
        <v>1</v>
      </c>
      <c r="M39" s="38">
        <f t="shared" si="0"/>
        <v>16.88</v>
      </c>
      <c r="N39" s="92">
        <f t="shared" si="1"/>
        <v>0</v>
      </c>
      <c r="O39" s="38">
        <f ca="1">IF('SVS GrundRG'!H61="",0,'SVS GrundRG'!H61)</f>
        <v>0</v>
      </c>
      <c r="P39" s="38">
        <f t="shared" si="2"/>
        <v>0</v>
      </c>
      <c r="Q39" s="38">
        <f t="shared" si="3"/>
        <v>0</v>
      </c>
      <c r="R39" s="38">
        <f t="shared" si="4"/>
        <v>0</v>
      </c>
      <c r="S39" s="16" t="str">
        <f t="shared" si="5"/>
        <v>Leistungswert eintragen</v>
      </c>
      <c r="U39" s="16">
        <f t="shared" si="6"/>
        <v>7</v>
      </c>
      <c r="V39" s="16">
        <f t="shared" si="7"/>
        <v>2.1</v>
      </c>
      <c r="W39" s="16">
        <f t="shared" si="8"/>
        <v>9.1</v>
      </c>
      <c r="X39" s="16" t="str">
        <f t="shared" si="9"/>
        <v/>
      </c>
    </row>
    <row r="40" spans="1:24" ht="15" customHeight="1" x14ac:dyDescent="0.2">
      <c r="A40" s="78">
        <v>19</v>
      </c>
      <c r="B40" s="88">
        <v>326</v>
      </c>
      <c r="C40" s="89" t="s">
        <v>225</v>
      </c>
      <c r="D40" s="89"/>
      <c r="E40" s="89" t="s">
        <v>238</v>
      </c>
      <c r="F40" s="89" t="s">
        <v>229</v>
      </c>
      <c r="G40" s="90">
        <v>76.91</v>
      </c>
      <c r="H40" s="90"/>
      <c r="I40" s="90"/>
      <c r="J40" s="78" t="s">
        <v>308</v>
      </c>
      <c r="K40" s="78" t="s">
        <v>160</v>
      </c>
      <c r="L40" s="38">
        <f>VLOOKUP(K40,Reinigungstage!A10:D31,4,FALSE)</f>
        <v>1</v>
      </c>
      <c r="M40" s="38">
        <f t="shared" si="0"/>
        <v>76.91</v>
      </c>
      <c r="N40" s="92">
        <f t="shared" si="1"/>
        <v>0</v>
      </c>
      <c r="O40" s="38">
        <f ca="1">IF('SVS GrundRG'!H61="",0,'SVS GrundRG'!H61)</f>
        <v>0</v>
      </c>
      <c r="P40" s="38">
        <f t="shared" si="2"/>
        <v>0</v>
      </c>
      <c r="Q40" s="38">
        <f t="shared" si="3"/>
        <v>0</v>
      </c>
      <c r="R40" s="38">
        <f t="shared" si="4"/>
        <v>0</v>
      </c>
      <c r="S40" s="16" t="str">
        <f t="shared" si="5"/>
        <v>Leistungswert eintragen</v>
      </c>
      <c r="U40" s="16">
        <f t="shared" si="6"/>
        <v>14</v>
      </c>
      <c r="V40" s="16">
        <f t="shared" si="7"/>
        <v>4.2</v>
      </c>
      <c r="W40" s="16">
        <f t="shared" si="8"/>
        <v>18.2</v>
      </c>
      <c r="X40" s="16" t="str">
        <f t="shared" si="9"/>
        <v/>
      </c>
    </row>
    <row r="41" spans="1:24" ht="15" customHeight="1" x14ac:dyDescent="0.2">
      <c r="A41" s="78">
        <v>20</v>
      </c>
      <c r="B41" s="88">
        <v>327</v>
      </c>
      <c r="C41" s="89" t="s">
        <v>225</v>
      </c>
      <c r="D41" s="89"/>
      <c r="E41" s="89" t="s">
        <v>239</v>
      </c>
      <c r="F41" s="89" t="s">
        <v>229</v>
      </c>
      <c r="G41" s="90">
        <v>22.79</v>
      </c>
      <c r="H41" s="90"/>
      <c r="I41" s="90"/>
      <c r="J41" s="78" t="s">
        <v>309</v>
      </c>
      <c r="K41" s="78" t="s">
        <v>160</v>
      </c>
      <c r="L41" s="38">
        <f>VLOOKUP(K41,Reinigungstage!A10:D31,4,FALSE)</f>
        <v>1</v>
      </c>
      <c r="M41" s="38">
        <f t="shared" si="0"/>
        <v>22.79</v>
      </c>
      <c r="N41" s="92">
        <f t="shared" si="1"/>
        <v>0</v>
      </c>
      <c r="O41" s="38">
        <f ca="1">IF('SVS GrundRG'!H61="",0,'SVS GrundRG'!H61)</f>
        <v>0</v>
      </c>
      <c r="P41" s="38">
        <f t="shared" si="2"/>
        <v>0</v>
      </c>
      <c r="Q41" s="38">
        <f t="shared" si="3"/>
        <v>0</v>
      </c>
      <c r="R41" s="38">
        <f t="shared" si="4"/>
        <v>0</v>
      </c>
      <c r="S41" s="16" t="str">
        <f t="shared" si="5"/>
        <v>Leistungswert eintragen</v>
      </c>
      <c r="U41" s="16">
        <f t="shared" si="6"/>
        <v>15</v>
      </c>
      <c r="V41" s="16">
        <f t="shared" si="7"/>
        <v>4.5</v>
      </c>
      <c r="W41" s="16">
        <f t="shared" si="8"/>
        <v>19.5</v>
      </c>
      <c r="X41" s="16" t="str">
        <f t="shared" si="9"/>
        <v/>
      </c>
    </row>
    <row r="42" spans="1:24" ht="15" customHeight="1" x14ac:dyDescent="0.2">
      <c r="A42" s="78">
        <v>21</v>
      </c>
      <c r="B42" s="88">
        <v>372</v>
      </c>
      <c r="C42" s="89" t="s">
        <v>225</v>
      </c>
      <c r="D42" s="89"/>
      <c r="E42" s="89" t="s">
        <v>240</v>
      </c>
      <c r="F42" s="89" t="s">
        <v>227</v>
      </c>
      <c r="G42" s="90">
        <v>35.950000000000003</v>
      </c>
      <c r="H42" s="90"/>
      <c r="I42" s="90"/>
      <c r="J42" s="78" t="s">
        <v>307</v>
      </c>
      <c r="K42" s="78" t="s">
        <v>160</v>
      </c>
      <c r="L42" s="38">
        <f>VLOOKUP(K42,Reinigungstage!A10:D31,4,FALSE)</f>
        <v>1</v>
      </c>
      <c r="M42" s="38">
        <f t="shared" si="0"/>
        <v>35.950000000000003</v>
      </c>
      <c r="N42" s="92">
        <f t="shared" si="1"/>
        <v>0</v>
      </c>
      <c r="O42" s="38">
        <f ca="1">IF('SVS GrundRG'!H61="",0,'SVS GrundRG'!H61)</f>
        <v>0</v>
      </c>
      <c r="P42" s="38">
        <f t="shared" si="2"/>
        <v>0</v>
      </c>
      <c r="Q42" s="38">
        <f t="shared" si="3"/>
        <v>0</v>
      </c>
      <c r="R42" s="38">
        <f t="shared" si="4"/>
        <v>0</v>
      </c>
      <c r="S42" s="16" t="str">
        <f t="shared" si="5"/>
        <v>Leistungswert eintragen</v>
      </c>
      <c r="U42" s="16">
        <f t="shared" si="6"/>
        <v>14</v>
      </c>
      <c r="V42" s="16">
        <f t="shared" si="7"/>
        <v>4.2</v>
      </c>
      <c r="W42" s="16">
        <f t="shared" si="8"/>
        <v>18.2</v>
      </c>
      <c r="X42" s="16" t="str">
        <f t="shared" si="9"/>
        <v/>
      </c>
    </row>
    <row r="43" spans="1:24" ht="15" customHeight="1" x14ac:dyDescent="0.2">
      <c r="A43" s="78">
        <v>22</v>
      </c>
      <c r="B43" s="88">
        <v>375</v>
      </c>
      <c r="C43" s="89" t="s">
        <v>225</v>
      </c>
      <c r="D43" s="89"/>
      <c r="E43" s="89" t="s">
        <v>245</v>
      </c>
      <c r="F43" s="89" t="s">
        <v>229</v>
      </c>
      <c r="G43" s="90">
        <v>71.91</v>
      </c>
      <c r="H43" s="90"/>
      <c r="I43" s="90"/>
      <c r="J43" s="78" t="s">
        <v>313</v>
      </c>
      <c r="K43" s="78" t="s">
        <v>160</v>
      </c>
      <c r="L43" s="38">
        <f>VLOOKUP(K43,Reinigungstage!A10:D31,4,FALSE)</f>
        <v>1</v>
      </c>
      <c r="M43" s="38">
        <f t="shared" si="0"/>
        <v>71.91</v>
      </c>
      <c r="N43" s="92">
        <f t="shared" si="1"/>
        <v>0</v>
      </c>
      <c r="O43" s="38">
        <f ca="1">IF('SVS GrundRG'!H61="",0,'SVS GrundRG'!H61)</f>
        <v>0</v>
      </c>
      <c r="P43" s="38">
        <f t="shared" si="2"/>
        <v>0</v>
      </c>
      <c r="Q43" s="38">
        <f t="shared" si="3"/>
        <v>0</v>
      </c>
      <c r="R43" s="38">
        <f t="shared" si="4"/>
        <v>0</v>
      </c>
      <c r="S43" s="16" t="str">
        <f t="shared" si="5"/>
        <v>Leistungswert eintragen</v>
      </c>
      <c r="U43" s="16">
        <f t="shared" si="6"/>
        <v>24</v>
      </c>
      <c r="V43" s="16">
        <f t="shared" si="7"/>
        <v>7.1999999999999993</v>
      </c>
      <c r="W43" s="16">
        <f t="shared" si="8"/>
        <v>31.2</v>
      </c>
      <c r="X43" s="16" t="str">
        <f t="shared" si="9"/>
        <v/>
      </c>
    </row>
    <row r="44" spans="1:24" ht="15" customHeight="1" x14ac:dyDescent="0.2">
      <c r="A44" s="78">
        <v>23</v>
      </c>
      <c r="B44" s="88">
        <v>376</v>
      </c>
      <c r="C44" s="89" t="s">
        <v>225</v>
      </c>
      <c r="D44" s="89"/>
      <c r="E44" s="89" t="s">
        <v>245</v>
      </c>
      <c r="F44" s="89" t="s">
        <v>229</v>
      </c>
      <c r="G44" s="90">
        <v>102</v>
      </c>
      <c r="H44" s="90"/>
      <c r="I44" s="90"/>
      <c r="J44" s="78" t="s">
        <v>313</v>
      </c>
      <c r="K44" s="78" t="s">
        <v>160</v>
      </c>
      <c r="L44" s="38">
        <f>VLOOKUP(K44,Reinigungstage!A10:D31,4,FALSE)</f>
        <v>1</v>
      </c>
      <c r="M44" s="38">
        <f t="shared" si="0"/>
        <v>102</v>
      </c>
      <c r="N44" s="92">
        <f t="shared" si="1"/>
        <v>0</v>
      </c>
      <c r="O44" s="38">
        <f ca="1">IF('SVS GrundRG'!H61="",0,'SVS GrundRG'!H61)</f>
        <v>0</v>
      </c>
      <c r="P44" s="38">
        <f t="shared" si="2"/>
        <v>0</v>
      </c>
      <c r="Q44" s="38">
        <f t="shared" si="3"/>
        <v>0</v>
      </c>
      <c r="R44" s="38">
        <f t="shared" si="4"/>
        <v>0</v>
      </c>
      <c r="S44" s="16" t="str">
        <f t="shared" si="5"/>
        <v>Leistungswert eintragen</v>
      </c>
      <c r="U44" s="16">
        <f t="shared" si="6"/>
        <v>24</v>
      </c>
      <c r="V44" s="16">
        <f t="shared" si="7"/>
        <v>7.1999999999999993</v>
      </c>
      <c r="W44" s="16">
        <f t="shared" si="8"/>
        <v>31.2</v>
      </c>
      <c r="X44" s="16" t="str">
        <f t="shared" si="9"/>
        <v/>
      </c>
    </row>
    <row r="45" spans="1:24" ht="15" customHeight="1" x14ac:dyDescent="0.2">
      <c r="A45" s="78">
        <v>24</v>
      </c>
      <c r="B45" s="88">
        <v>377</v>
      </c>
      <c r="C45" s="89" t="s">
        <v>225</v>
      </c>
      <c r="D45" s="89"/>
      <c r="E45" s="89" t="s">
        <v>245</v>
      </c>
      <c r="F45" s="89" t="s">
        <v>229</v>
      </c>
      <c r="G45" s="90">
        <v>72</v>
      </c>
      <c r="H45" s="90"/>
      <c r="I45" s="90"/>
      <c r="J45" s="78" t="s">
        <v>313</v>
      </c>
      <c r="K45" s="78" t="s">
        <v>160</v>
      </c>
      <c r="L45" s="38">
        <f>VLOOKUP(K45,Reinigungstage!A10:D31,4,FALSE)</f>
        <v>1</v>
      </c>
      <c r="M45" s="38">
        <f t="shared" si="0"/>
        <v>72</v>
      </c>
      <c r="N45" s="92">
        <f t="shared" si="1"/>
        <v>0</v>
      </c>
      <c r="O45" s="38">
        <f ca="1">IF('SVS GrundRG'!H61="",0,'SVS GrundRG'!H61)</f>
        <v>0</v>
      </c>
      <c r="P45" s="38">
        <f t="shared" si="2"/>
        <v>0</v>
      </c>
      <c r="Q45" s="38">
        <f t="shared" si="3"/>
        <v>0</v>
      </c>
      <c r="R45" s="38">
        <f t="shared" si="4"/>
        <v>0</v>
      </c>
      <c r="S45" s="16" t="str">
        <f t="shared" si="5"/>
        <v>Leistungswert eintragen</v>
      </c>
      <c r="U45" s="16">
        <f t="shared" si="6"/>
        <v>24</v>
      </c>
      <c r="V45" s="16">
        <f t="shared" si="7"/>
        <v>7.1999999999999993</v>
      </c>
      <c r="W45" s="16">
        <f t="shared" si="8"/>
        <v>31.2</v>
      </c>
      <c r="X45" s="16" t="str">
        <f t="shared" si="9"/>
        <v/>
      </c>
    </row>
    <row r="46" spans="1:24" ht="15" customHeight="1" x14ac:dyDescent="0.2">
      <c r="A46" s="78">
        <v>25</v>
      </c>
      <c r="B46" s="88">
        <v>379</v>
      </c>
      <c r="C46" s="89" t="s">
        <v>225</v>
      </c>
      <c r="D46" s="89"/>
      <c r="E46" s="89" t="s">
        <v>247</v>
      </c>
      <c r="F46" s="89" t="s">
        <v>227</v>
      </c>
      <c r="G46" s="90">
        <v>36.31</v>
      </c>
      <c r="H46" s="90"/>
      <c r="I46" s="90"/>
      <c r="J46" s="78" t="s">
        <v>307</v>
      </c>
      <c r="K46" s="78" t="s">
        <v>160</v>
      </c>
      <c r="L46" s="38">
        <f>VLOOKUP(K46,Reinigungstage!A10:D31,4,FALSE)</f>
        <v>1</v>
      </c>
      <c r="M46" s="38">
        <f t="shared" si="0"/>
        <v>36.31</v>
      </c>
      <c r="N46" s="92">
        <f t="shared" si="1"/>
        <v>0</v>
      </c>
      <c r="O46" s="38">
        <f ca="1">IF('SVS GrundRG'!H61="",0,'SVS GrundRG'!H61)</f>
        <v>0</v>
      </c>
      <c r="P46" s="38">
        <f t="shared" si="2"/>
        <v>0</v>
      </c>
      <c r="Q46" s="38">
        <f t="shared" si="3"/>
        <v>0</v>
      </c>
      <c r="R46" s="38">
        <f t="shared" si="4"/>
        <v>0</v>
      </c>
      <c r="S46" s="16" t="str">
        <f t="shared" si="5"/>
        <v>Leistungswert eintragen</v>
      </c>
      <c r="U46" s="16">
        <f t="shared" si="6"/>
        <v>14</v>
      </c>
      <c r="V46" s="16">
        <f t="shared" si="7"/>
        <v>4.2</v>
      </c>
      <c r="W46" s="16">
        <f t="shared" si="8"/>
        <v>18.2</v>
      </c>
      <c r="X46" s="16" t="str">
        <f t="shared" si="9"/>
        <v/>
      </c>
    </row>
    <row r="47" spans="1:24" ht="15" customHeight="1" x14ac:dyDescent="0.2">
      <c r="A47" s="78">
        <v>26</v>
      </c>
      <c r="B47" s="88">
        <v>201</v>
      </c>
      <c r="C47" s="89" t="s">
        <v>248</v>
      </c>
      <c r="D47" s="89"/>
      <c r="E47" s="89" t="s">
        <v>226</v>
      </c>
      <c r="F47" s="89" t="s">
        <v>227</v>
      </c>
      <c r="G47" s="90">
        <v>39.299999999999997</v>
      </c>
      <c r="H47" s="90"/>
      <c r="I47" s="90"/>
      <c r="J47" s="78" t="s">
        <v>307</v>
      </c>
      <c r="K47" s="78" t="s">
        <v>160</v>
      </c>
      <c r="L47" s="38">
        <f>VLOOKUP(K47,Reinigungstage!A10:D31,4,FALSE)</f>
        <v>1</v>
      </c>
      <c r="M47" s="38">
        <f t="shared" si="0"/>
        <v>39.299999999999997</v>
      </c>
      <c r="N47" s="92">
        <f t="shared" si="1"/>
        <v>0</v>
      </c>
      <c r="O47" s="38">
        <f ca="1">IF('SVS GrundRG'!H61="",0,'SVS GrundRG'!H61)</f>
        <v>0</v>
      </c>
      <c r="P47" s="38">
        <f t="shared" si="2"/>
        <v>0</v>
      </c>
      <c r="Q47" s="38">
        <f t="shared" si="3"/>
        <v>0</v>
      </c>
      <c r="R47" s="38">
        <f t="shared" si="4"/>
        <v>0</v>
      </c>
      <c r="S47" s="16" t="str">
        <f t="shared" si="5"/>
        <v>Leistungswert eintragen</v>
      </c>
      <c r="U47" s="16">
        <f t="shared" si="6"/>
        <v>14</v>
      </c>
      <c r="V47" s="16">
        <f t="shared" si="7"/>
        <v>4.2</v>
      </c>
      <c r="W47" s="16">
        <f t="shared" si="8"/>
        <v>18.2</v>
      </c>
      <c r="X47" s="16" t="str">
        <f t="shared" si="9"/>
        <v/>
      </c>
    </row>
    <row r="48" spans="1:24" ht="15" customHeight="1" x14ac:dyDescent="0.2">
      <c r="A48" s="78">
        <v>27</v>
      </c>
      <c r="B48" s="88">
        <v>202</v>
      </c>
      <c r="C48" s="89" t="s">
        <v>248</v>
      </c>
      <c r="D48" s="89"/>
      <c r="E48" s="89" t="s">
        <v>249</v>
      </c>
      <c r="F48" s="89" t="s">
        <v>229</v>
      </c>
      <c r="G48" s="90">
        <v>36.75</v>
      </c>
      <c r="H48" s="90"/>
      <c r="I48" s="90"/>
      <c r="J48" s="78" t="s">
        <v>314</v>
      </c>
      <c r="K48" s="78" t="s">
        <v>160</v>
      </c>
      <c r="L48" s="38">
        <f>VLOOKUP(K48,Reinigungstage!A10:D31,4,FALSE)</f>
        <v>1</v>
      </c>
      <c r="M48" s="38">
        <f t="shared" si="0"/>
        <v>36.75</v>
      </c>
      <c r="N48" s="92">
        <f t="shared" si="1"/>
        <v>0</v>
      </c>
      <c r="O48" s="38">
        <f ca="1">IF('SVS GrundRG'!H61="",0,'SVS GrundRG'!H61)</f>
        <v>0</v>
      </c>
      <c r="P48" s="38">
        <f t="shared" si="2"/>
        <v>0</v>
      </c>
      <c r="Q48" s="38">
        <f t="shared" si="3"/>
        <v>0</v>
      </c>
      <c r="R48" s="38">
        <f t="shared" si="4"/>
        <v>0</v>
      </c>
      <c r="S48" s="16" t="str">
        <f t="shared" si="5"/>
        <v>Leistungswert eintragen</v>
      </c>
      <c r="U48" s="16">
        <f t="shared" si="6"/>
        <v>13</v>
      </c>
      <c r="V48" s="16">
        <f t="shared" si="7"/>
        <v>3.9</v>
      </c>
      <c r="W48" s="16">
        <f t="shared" si="8"/>
        <v>16.899999999999999</v>
      </c>
      <c r="X48" s="16" t="str">
        <f t="shared" si="9"/>
        <v/>
      </c>
    </row>
    <row r="49" spans="1:24" ht="15" customHeight="1" x14ac:dyDescent="0.2">
      <c r="A49" s="78">
        <v>28</v>
      </c>
      <c r="B49" s="88">
        <v>203</v>
      </c>
      <c r="C49" s="89" t="s">
        <v>248</v>
      </c>
      <c r="D49" s="89"/>
      <c r="E49" s="89" t="s">
        <v>250</v>
      </c>
      <c r="F49" s="89" t="s">
        <v>229</v>
      </c>
      <c r="G49" s="90">
        <v>14.42</v>
      </c>
      <c r="H49" s="90"/>
      <c r="I49" s="90"/>
      <c r="J49" s="78" t="s">
        <v>314</v>
      </c>
      <c r="K49" s="78" t="s">
        <v>160</v>
      </c>
      <c r="L49" s="38">
        <f>VLOOKUP(K49,Reinigungstage!A10:D31,4,FALSE)</f>
        <v>1</v>
      </c>
      <c r="M49" s="38">
        <f t="shared" si="0"/>
        <v>14.42</v>
      </c>
      <c r="N49" s="92">
        <f t="shared" si="1"/>
        <v>0</v>
      </c>
      <c r="O49" s="38">
        <f ca="1">IF('SVS GrundRG'!H61="",0,'SVS GrundRG'!H61)</f>
        <v>0</v>
      </c>
      <c r="P49" s="38">
        <f t="shared" si="2"/>
        <v>0</v>
      </c>
      <c r="Q49" s="38">
        <f t="shared" si="3"/>
        <v>0</v>
      </c>
      <c r="R49" s="38">
        <f t="shared" si="4"/>
        <v>0</v>
      </c>
      <c r="S49" s="16" t="str">
        <f t="shared" si="5"/>
        <v>Leistungswert eintragen</v>
      </c>
      <c r="U49" s="16">
        <f t="shared" si="6"/>
        <v>13</v>
      </c>
      <c r="V49" s="16">
        <f t="shared" si="7"/>
        <v>3.9</v>
      </c>
      <c r="W49" s="16">
        <f t="shared" si="8"/>
        <v>16.899999999999999</v>
      </c>
      <c r="X49" s="16" t="str">
        <f t="shared" si="9"/>
        <v/>
      </c>
    </row>
    <row r="50" spans="1:24" ht="15" customHeight="1" x14ac:dyDescent="0.2">
      <c r="A50" s="78">
        <v>29</v>
      </c>
      <c r="B50" s="88">
        <v>204</v>
      </c>
      <c r="C50" s="89" t="s">
        <v>248</v>
      </c>
      <c r="D50" s="89"/>
      <c r="E50" s="89" t="s">
        <v>251</v>
      </c>
      <c r="F50" s="89" t="s">
        <v>229</v>
      </c>
      <c r="G50" s="90">
        <v>25.14</v>
      </c>
      <c r="H50" s="90"/>
      <c r="I50" s="90"/>
      <c r="J50" s="78" t="s">
        <v>314</v>
      </c>
      <c r="K50" s="78" t="s">
        <v>160</v>
      </c>
      <c r="L50" s="38">
        <f>VLOOKUP(K50,Reinigungstage!A10:D31,4,FALSE)</f>
        <v>1</v>
      </c>
      <c r="M50" s="38">
        <f t="shared" ref="M50:M75" si="10">ROUND(IF(L50=0,0,L50*G50),2)</f>
        <v>25.14</v>
      </c>
      <c r="N50" s="92">
        <f t="shared" ref="N50:N75" si="11">VLOOKUP(J50,$G$4:$H$14,2,FALSE)</f>
        <v>0</v>
      </c>
      <c r="O50" s="38">
        <f ca="1">IF('SVS GrundRG'!H61="",0,'SVS GrundRG'!H61)</f>
        <v>0</v>
      </c>
      <c r="P50" s="38">
        <f t="shared" ref="P50:P75" si="12">ROUND(IF(N50=0,0,M50/N50),2)</f>
        <v>0</v>
      </c>
      <c r="Q50" s="38">
        <f t="shared" ref="Q50:Q75" si="13">ROUND(IF(P50=0,0,P50*O50),2)</f>
        <v>0</v>
      </c>
      <c r="R50" s="38">
        <f t="shared" ref="R50:R75" si="14">ROUND(IF(P50=0,0,Q50/L50),2)</f>
        <v>0</v>
      </c>
      <c r="S50" s="16" t="str">
        <f t="shared" ref="S50:S75" si="15">IF(M50=0,"",IF(N50=0,"Leistungswert eintragen",IF(O50=0,"SVS prüfen","")))</f>
        <v>Leistungswert eintragen</v>
      </c>
      <c r="U50" s="16">
        <f t="shared" ref="U50:U75" si="16">VLOOKUP(J50,$U$4:$V$14,2,FALSE)</f>
        <v>13</v>
      </c>
      <c r="V50" s="16">
        <f t="shared" ref="V50:V75" si="17">U50*30%</f>
        <v>3.9</v>
      </c>
      <c r="W50" s="16">
        <f t="shared" ref="W50:W75" si="18">SUM(U50:V50)</f>
        <v>16.899999999999999</v>
      </c>
      <c r="X50" s="16" t="str">
        <f t="shared" ref="X50:X75" si="19">IF(N50=0,"",IF(W50&lt;N50,1,IF(W50&gt;=N50,0,"")))</f>
        <v/>
      </c>
    </row>
    <row r="51" spans="1:24" ht="15" customHeight="1" x14ac:dyDescent="0.2">
      <c r="A51" s="78">
        <v>30</v>
      </c>
      <c r="B51" s="88">
        <v>205</v>
      </c>
      <c r="C51" s="89" t="s">
        <v>248</v>
      </c>
      <c r="D51" s="89"/>
      <c r="E51" s="89" t="s">
        <v>252</v>
      </c>
      <c r="F51" s="89" t="s">
        <v>229</v>
      </c>
      <c r="G51" s="90">
        <v>9.1999999999999993</v>
      </c>
      <c r="H51" s="90"/>
      <c r="I51" s="90"/>
      <c r="J51" s="78" t="s">
        <v>309</v>
      </c>
      <c r="K51" s="78" t="s">
        <v>160</v>
      </c>
      <c r="L51" s="38">
        <f>VLOOKUP(K51,Reinigungstage!A10:D31,4,FALSE)</f>
        <v>1</v>
      </c>
      <c r="M51" s="38">
        <f t="shared" si="10"/>
        <v>9.1999999999999993</v>
      </c>
      <c r="N51" s="92">
        <f t="shared" si="11"/>
        <v>0</v>
      </c>
      <c r="O51" s="38">
        <f ca="1">IF('SVS GrundRG'!H61="",0,'SVS GrundRG'!H61)</f>
        <v>0</v>
      </c>
      <c r="P51" s="38">
        <f t="shared" si="12"/>
        <v>0</v>
      </c>
      <c r="Q51" s="38">
        <f t="shared" si="13"/>
        <v>0</v>
      </c>
      <c r="R51" s="38">
        <f t="shared" si="14"/>
        <v>0</v>
      </c>
      <c r="S51" s="16" t="str">
        <f t="shared" si="15"/>
        <v>Leistungswert eintragen</v>
      </c>
      <c r="U51" s="16">
        <f t="shared" si="16"/>
        <v>15</v>
      </c>
      <c r="V51" s="16">
        <f t="shared" si="17"/>
        <v>4.5</v>
      </c>
      <c r="W51" s="16">
        <f t="shared" si="18"/>
        <v>19.5</v>
      </c>
      <c r="X51" s="16" t="str">
        <f t="shared" si="19"/>
        <v/>
      </c>
    </row>
    <row r="52" spans="1:24" ht="15" customHeight="1" x14ac:dyDescent="0.2">
      <c r="A52" s="78">
        <v>31</v>
      </c>
      <c r="B52" s="88">
        <v>208</v>
      </c>
      <c r="C52" s="89" t="s">
        <v>248</v>
      </c>
      <c r="D52" s="89"/>
      <c r="E52" s="89" t="s">
        <v>255</v>
      </c>
      <c r="F52" s="89" t="s">
        <v>227</v>
      </c>
      <c r="G52" s="90">
        <v>3.31</v>
      </c>
      <c r="H52" s="90"/>
      <c r="I52" s="90"/>
      <c r="J52" s="78" t="s">
        <v>312</v>
      </c>
      <c r="K52" s="78" t="s">
        <v>160</v>
      </c>
      <c r="L52" s="38">
        <f>VLOOKUP(K52,Reinigungstage!A10:D31,4,FALSE)</f>
        <v>1</v>
      </c>
      <c r="M52" s="38">
        <f t="shared" si="10"/>
        <v>3.31</v>
      </c>
      <c r="N52" s="92">
        <f t="shared" si="11"/>
        <v>0</v>
      </c>
      <c r="O52" s="38">
        <f ca="1">IF('SVS GrundRG'!H61="",0,'SVS GrundRG'!H61)</f>
        <v>0</v>
      </c>
      <c r="P52" s="38">
        <f t="shared" si="12"/>
        <v>0</v>
      </c>
      <c r="Q52" s="38">
        <f t="shared" si="13"/>
        <v>0</v>
      </c>
      <c r="R52" s="38">
        <f t="shared" si="14"/>
        <v>0</v>
      </c>
      <c r="S52" s="16" t="str">
        <f t="shared" si="15"/>
        <v>Leistungswert eintragen</v>
      </c>
      <c r="U52" s="16">
        <f t="shared" si="16"/>
        <v>7</v>
      </c>
      <c r="V52" s="16">
        <f t="shared" si="17"/>
        <v>2.1</v>
      </c>
      <c r="W52" s="16">
        <f t="shared" si="18"/>
        <v>9.1</v>
      </c>
      <c r="X52" s="16" t="str">
        <f t="shared" si="19"/>
        <v/>
      </c>
    </row>
    <row r="53" spans="1:24" ht="15" customHeight="1" x14ac:dyDescent="0.2">
      <c r="A53" s="78">
        <v>32</v>
      </c>
      <c r="B53" s="88">
        <v>209</v>
      </c>
      <c r="C53" s="89" t="s">
        <v>248</v>
      </c>
      <c r="D53" s="89"/>
      <c r="E53" s="89" t="s">
        <v>255</v>
      </c>
      <c r="F53" s="89" t="s">
        <v>227</v>
      </c>
      <c r="G53" s="90">
        <v>3.31</v>
      </c>
      <c r="H53" s="90"/>
      <c r="I53" s="90"/>
      <c r="J53" s="78" t="s">
        <v>312</v>
      </c>
      <c r="K53" s="78" t="s">
        <v>160</v>
      </c>
      <c r="L53" s="38">
        <f>VLOOKUP(K53,Reinigungstage!A10:D31,4,FALSE)</f>
        <v>1</v>
      </c>
      <c r="M53" s="38">
        <f t="shared" si="10"/>
        <v>3.31</v>
      </c>
      <c r="N53" s="92">
        <f t="shared" si="11"/>
        <v>0</v>
      </c>
      <c r="O53" s="38">
        <f ca="1">IF('SVS GrundRG'!H61="",0,'SVS GrundRG'!H61)</f>
        <v>0</v>
      </c>
      <c r="P53" s="38">
        <f t="shared" si="12"/>
        <v>0</v>
      </c>
      <c r="Q53" s="38">
        <f t="shared" si="13"/>
        <v>0</v>
      </c>
      <c r="R53" s="38">
        <f t="shared" si="14"/>
        <v>0</v>
      </c>
      <c r="S53" s="16" t="str">
        <f t="shared" si="15"/>
        <v>Leistungswert eintragen</v>
      </c>
      <c r="U53" s="16">
        <f t="shared" si="16"/>
        <v>7</v>
      </c>
      <c r="V53" s="16">
        <f t="shared" si="17"/>
        <v>2.1</v>
      </c>
      <c r="W53" s="16">
        <f t="shared" si="18"/>
        <v>9.1</v>
      </c>
      <c r="X53" s="16" t="str">
        <f t="shared" si="19"/>
        <v/>
      </c>
    </row>
    <row r="54" spans="1:24" ht="15" customHeight="1" x14ac:dyDescent="0.2">
      <c r="A54" s="78">
        <v>33</v>
      </c>
      <c r="B54" s="88">
        <v>211</v>
      </c>
      <c r="C54" s="89" t="s">
        <v>248</v>
      </c>
      <c r="D54" s="89"/>
      <c r="E54" s="89" t="s">
        <v>233</v>
      </c>
      <c r="F54" s="89" t="s">
        <v>229</v>
      </c>
      <c r="G54" s="90">
        <v>67.319999999999993</v>
      </c>
      <c r="H54" s="90"/>
      <c r="I54" s="90"/>
      <c r="J54" s="78" t="s">
        <v>308</v>
      </c>
      <c r="K54" s="78" t="s">
        <v>160</v>
      </c>
      <c r="L54" s="38">
        <f>VLOOKUP(K54,Reinigungstage!A10:D31,4,FALSE)</f>
        <v>1</v>
      </c>
      <c r="M54" s="38">
        <f t="shared" si="10"/>
        <v>67.319999999999993</v>
      </c>
      <c r="N54" s="92">
        <f t="shared" si="11"/>
        <v>0</v>
      </c>
      <c r="O54" s="38">
        <f ca="1">IF('SVS GrundRG'!H61="",0,'SVS GrundRG'!H61)</f>
        <v>0</v>
      </c>
      <c r="P54" s="38">
        <f t="shared" si="12"/>
        <v>0</v>
      </c>
      <c r="Q54" s="38">
        <f t="shared" si="13"/>
        <v>0</v>
      </c>
      <c r="R54" s="38">
        <f t="shared" si="14"/>
        <v>0</v>
      </c>
      <c r="S54" s="16" t="str">
        <f t="shared" si="15"/>
        <v>Leistungswert eintragen</v>
      </c>
      <c r="U54" s="16">
        <f t="shared" si="16"/>
        <v>14</v>
      </c>
      <c r="V54" s="16">
        <f t="shared" si="17"/>
        <v>4.2</v>
      </c>
      <c r="W54" s="16">
        <f t="shared" si="18"/>
        <v>18.2</v>
      </c>
      <c r="X54" s="16" t="str">
        <f t="shared" si="19"/>
        <v/>
      </c>
    </row>
    <row r="55" spans="1:24" ht="15" customHeight="1" x14ac:dyDescent="0.2">
      <c r="A55" s="78">
        <v>34</v>
      </c>
      <c r="B55" s="88">
        <v>212</v>
      </c>
      <c r="C55" s="89" t="s">
        <v>248</v>
      </c>
      <c r="D55" s="89"/>
      <c r="E55" s="89" t="s">
        <v>234</v>
      </c>
      <c r="F55" s="89" t="s">
        <v>229</v>
      </c>
      <c r="G55" s="90">
        <v>16.29</v>
      </c>
      <c r="H55" s="90"/>
      <c r="I55" s="90"/>
      <c r="J55" s="78" t="s">
        <v>309</v>
      </c>
      <c r="K55" s="78" t="s">
        <v>160</v>
      </c>
      <c r="L55" s="38">
        <f>VLOOKUP(K55,Reinigungstage!A10:D31,4,FALSE)</f>
        <v>1</v>
      </c>
      <c r="M55" s="38">
        <f t="shared" si="10"/>
        <v>16.29</v>
      </c>
      <c r="N55" s="92">
        <f t="shared" si="11"/>
        <v>0</v>
      </c>
      <c r="O55" s="38">
        <f ca="1">IF('SVS GrundRG'!H61="",0,'SVS GrundRG'!H61)</f>
        <v>0</v>
      </c>
      <c r="P55" s="38">
        <f t="shared" si="12"/>
        <v>0</v>
      </c>
      <c r="Q55" s="38">
        <f t="shared" si="13"/>
        <v>0</v>
      </c>
      <c r="R55" s="38">
        <f t="shared" si="14"/>
        <v>0</v>
      </c>
      <c r="S55" s="16" t="str">
        <f t="shared" si="15"/>
        <v>Leistungswert eintragen</v>
      </c>
      <c r="U55" s="16">
        <f t="shared" si="16"/>
        <v>15</v>
      </c>
      <c r="V55" s="16">
        <f t="shared" si="17"/>
        <v>4.5</v>
      </c>
      <c r="W55" s="16">
        <f t="shared" si="18"/>
        <v>19.5</v>
      </c>
      <c r="X55" s="16" t="str">
        <f t="shared" si="19"/>
        <v/>
      </c>
    </row>
    <row r="56" spans="1:24" ht="15" customHeight="1" x14ac:dyDescent="0.2">
      <c r="A56" s="78">
        <v>35</v>
      </c>
      <c r="B56" s="88">
        <v>213</v>
      </c>
      <c r="C56" s="89" t="s">
        <v>248</v>
      </c>
      <c r="D56" s="89"/>
      <c r="E56" s="89" t="s">
        <v>233</v>
      </c>
      <c r="F56" s="89" t="s">
        <v>229</v>
      </c>
      <c r="G56" s="90">
        <v>59.38</v>
      </c>
      <c r="H56" s="90"/>
      <c r="I56" s="90"/>
      <c r="J56" s="78" t="s">
        <v>308</v>
      </c>
      <c r="K56" s="78" t="s">
        <v>160</v>
      </c>
      <c r="L56" s="38">
        <f>VLOOKUP(K56,Reinigungstage!A10:D31,4,FALSE)</f>
        <v>1</v>
      </c>
      <c r="M56" s="38">
        <f t="shared" si="10"/>
        <v>59.38</v>
      </c>
      <c r="N56" s="92">
        <f t="shared" si="11"/>
        <v>0</v>
      </c>
      <c r="O56" s="38">
        <f ca="1">IF('SVS GrundRG'!H61="",0,'SVS GrundRG'!H61)</f>
        <v>0</v>
      </c>
      <c r="P56" s="38">
        <f t="shared" si="12"/>
        <v>0</v>
      </c>
      <c r="Q56" s="38">
        <f t="shared" si="13"/>
        <v>0</v>
      </c>
      <c r="R56" s="38">
        <f t="shared" si="14"/>
        <v>0</v>
      </c>
      <c r="S56" s="16" t="str">
        <f t="shared" si="15"/>
        <v>Leistungswert eintragen</v>
      </c>
      <c r="U56" s="16">
        <f t="shared" si="16"/>
        <v>14</v>
      </c>
      <c r="V56" s="16">
        <f t="shared" si="17"/>
        <v>4.2</v>
      </c>
      <c r="W56" s="16">
        <f t="shared" si="18"/>
        <v>18.2</v>
      </c>
      <c r="X56" s="16" t="str">
        <f t="shared" si="19"/>
        <v/>
      </c>
    </row>
    <row r="57" spans="1:24" ht="15" customHeight="1" x14ac:dyDescent="0.2">
      <c r="A57" s="78">
        <v>36</v>
      </c>
      <c r="B57" s="88">
        <v>214</v>
      </c>
      <c r="C57" s="89" t="s">
        <v>248</v>
      </c>
      <c r="D57" s="89"/>
      <c r="E57" s="89" t="s">
        <v>233</v>
      </c>
      <c r="F57" s="89" t="s">
        <v>229</v>
      </c>
      <c r="G57" s="90">
        <v>59.39</v>
      </c>
      <c r="H57" s="90"/>
      <c r="I57" s="90"/>
      <c r="J57" s="78" t="s">
        <v>308</v>
      </c>
      <c r="K57" s="78" t="s">
        <v>160</v>
      </c>
      <c r="L57" s="38">
        <f>VLOOKUP(K57,Reinigungstage!A10:D31,4,FALSE)</f>
        <v>1</v>
      </c>
      <c r="M57" s="38">
        <f t="shared" si="10"/>
        <v>59.39</v>
      </c>
      <c r="N57" s="92">
        <f t="shared" si="11"/>
        <v>0</v>
      </c>
      <c r="O57" s="38">
        <f ca="1">IF('SVS GrundRG'!H61="",0,'SVS GrundRG'!H61)</f>
        <v>0</v>
      </c>
      <c r="P57" s="38">
        <f t="shared" si="12"/>
        <v>0</v>
      </c>
      <c r="Q57" s="38">
        <f t="shared" si="13"/>
        <v>0</v>
      </c>
      <c r="R57" s="38">
        <f t="shared" si="14"/>
        <v>0</v>
      </c>
      <c r="S57" s="16" t="str">
        <f t="shared" si="15"/>
        <v>Leistungswert eintragen</v>
      </c>
      <c r="U57" s="16">
        <f t="shared" si="16"/>
        <v>14</v>
      </c>
      <c r="V57" s="16">
        <f t="shared" si="17"/>
        <v>4.2</v>
      </c>
      <c r="W57" s="16">
        <f t="shared" si="18"/>
        <v>18.2</v>
      </c>
      <c r="X57" s="16" t="str">
        <f t="shared" si="19"/>
        <v/>
      </c>
    </row>
    <row r="58" spans="1:24" ht="15" customHeight="1" x14ac:dyDescent="0.2">
      <c r="A58" s="78">
        <v>37</v>
      </c>
      <c r="B58" s="88">
        <v>215</v>
      </c>
      <c r="C58" s="89" t="s">
        <v>248</v>
      </c>
      <c r="D58" s="89"/>
      <c r="E58" s="89" t="s">
        <v>234</v>
      </c>
      <c r="F58" s="89" t="s">
        <v>229</v>
      </c>
      <c r="G58" s="90">
        <v>15.67</v>
      </c>
      <c r="H58" s="90"/>
      <c r="I58" s="90"/>
      <c r="J58" s="78" t="s">
        <v>309</v>
      </c>
      <c r="K58" s="78" t="s">
        <v>160</v>
      </c>
      <c r="L58" s="38">
        <f>VLOOKUP(K58,Reinigungstage!A10:D31,4,FALSE)</f>
        <v>1</v>
      </c>
      <c r="M58" s="38">
        <f t="shared" si="10"/>
        <v>15.67</v>
      </c>
      <c r="N58" s="92">
        <f t="shared" si="11"/>
        <v>0</v>
      </c>
      <c r="O58" s="38">
        <f ca="1">IF('SVS GrundRG'!H61="",0,'SVS GrundRG'!H61)</f>
        <v>0</v>
      </c>
      <c r="P58" s="38">
        <f t="shared" si="12"/>
        <v>0</v>
      </c>
      <c r="Q58" s="38">
        <f t="shared" si="13"/>
        <v>0</v>
      </c>
      <c r="R58" s="38">
        <f t="shared" si="14"/>
        <v>0</v>
      </c>
      <c r="S58" s="16" t="str">
        <f t="shared" si="15"/>
        <v>Leistungswert eintragen</v>
      </c>
      <c r="U58" s="16">
        <f t="shared" si="16"/>
        <v>15</v>
      </c>
      <c r="V58" s="16">
        <f t="shared" si="17"/>
        <v>4.5</v>
      </c>
      <c r="W58" s="16">
        <f t="shared" si="18"/>
        <v>19.5</v>
      </c>
      <c r="X58" s="16" t="str">
        <f t="shared" si="19"/>
        <v/>
      </c>
    </row>
    <row r="59" spans="1:24" ht="15" customHeight="1" x14ac:dyDescent="0.2">
      <c r="A59" s="78">
        <v>38</v>
      </c>
      <c r="B59" s="88">
        <v>216</v>
      </c>
      <c r="C59" s="89" t="s">
        <v>248</v>
      </c>
      <c r="D59" s="89"/>
      <c r="E59" s="89" t="s">
        <v>233</v>
      </c>
      <c r="F59" s="89" t="s">
        <v>229</v>
      </c>
      <c r="G59" s="90">
        <v>59.38</v>
      </c>
      <c r="H59" s="90"/>
      <c r="I59" s="90"/>
      <c r="J59" s="78" t="s">
        <v>308</v>
      </c>
      <c r="K59" s="78" t="s">
        <v>160</v>
      </c>
      <c r="L59" s="38">
        <f>VLOOKUP(K59,Reinigungstage!A10:D31,4,FALSE)</f>
        <v>1</v>
      </c>
      <c r="M59" s="38">
        <f t="shared" si="10"/>
        <v>59.38</v>
      </c>
      <c r="N59" s="92">
        <f t="shared" si="11"/>
        <v>0</v>
      </c>
      <c r="O59" s="38">
        <f ca="1">IF('SVS GrundRG'!H61="",0,'SVS GrundRG'!H61)</f>
        <v>0</v>
      </c>
      <c r="P59" s="38">
        <f t="shared" si="12"/>
        <v>0</v>
      </c>
      <c r="Q59" s="38">
        <f t="shared" si="13"/>
        <v>0</v>
      </c>
      <c r="R59" s="38">
        <f t="shared" si="14"/>
        <v>0</v>
      </c>
      <c r="S59" s="16" t="str">
        <f t="shared" si="15"/>
        <v>Leistungswert eintragen</v>
      </c>
      <c r="U59" s="16">
        <f t="shared" si="16"/>
        <v>14</v>
      </c>
      <c r="V59" s="16">
        <f t="shared" si="17"/>
        <v>4.2</v>
      </c>
      <c r="W59" s="16">
        <f t="shared" si="18"/>
        <v>18.2</v>
      </c>
      <c r="X59" s="16" t="str">
        <f t="shared" si="19"/>
        <v/>
      </c>
    </row>
    <row r="60" spans="1:24" ht="15" customHeight="1" x14ac:dyDescent="0.2">
      <c r="A60" s="78">
        <v>39</v>
      </c>
      <c r="B60" s="88">
        <v>217</v>
      </c>
      <c r="C60" s="89" t="s">
        <v>248</v>
      </c>
      <c r="D60" s="89"/>
      <c r="E60" s="89" t="s">
        <v>233</v>
      </c>
      <c r="F60" s="89" t="s">
        <v>229</v>
      </c>
      <c r="G60" s="90">
        <v>59.39</v>
      </c>
      <c r="H60" s="90"/>
      <c r="I60" s="90"/>
      <c r="J60" s="78" t="s">
        <v>308</v>
      </c>
      <c r="K60" s="78" t="s">
        <v>160</v>
      </c>
      <c r="L60" s="38">
        <f>VLOOKUP(K60,Reinigungstage!A10:D31,4,FALSE)</f>
        <v>1</v>
      </c>
      <c r="M60" s="38">
        <f t="shared" si="10"/>
        <v>59.39</v>
      </c>
      <c r="N60" s="92">
        <f t="shared" si="11"/>
        <v>0</v>
      </c>
      <c r="O60" s="38">
        <f ca="1">IF('SVS GrundRG'!H61="",0,'SVS GrundRG'!H61)</f>
        <v>0</v>
      </c>
      <c r="P60" s="38">
        <f t="shared" si="12"/>
        <v>0</v>
      </c>
      <c r="Q60" s="38">
        <f t="shared" si="13"/>
        <v>0</v>
      </c>
      <c r="R60" s="38">
        <f t="shared" si="14"/>
        <v>0</v>
      </c>
      <c r="S60" s="16" t="str">
        <f t="shared" si="15"/>
        <v>Leistungswert eintragen</v>
      </c>
      <c r="U60" s="16">
        <f t="shared" si="16"/>
        <v>14</v>
      </c>
      <c r="V60" s="16">
        <f t="shared" si="17"/>
        <v>4.2</v>
      </c>
      <c r="W60" s="16">
        <f t="shared" si="18"/>
        <v>18.2</v>
      </c>
      <c r="X60" s="16" t="str">
        <f t="shared" si="19"/>
        <v/>
      </c>
    </row>
    <row r="61" spans="1:24" ht="15" customHeight="1" x14ac:dyDescent="0.2">
      <c r="A61" s="78">
        <v>40</v>
      </c>
      <c r="B61" s="88">
        <v>218</v>
      </c>
      <c r="C61" s="89" t="s">
        <v>248</v>
      </c>
      <c r="D61" s="89"/>
      <c r="E61" s="89" t="s">
        <v>234</v>
      </c>
      <c r="F61" s="89" t="s">
        <v>229</v>
      </c>
      <c r="G61" s="90">
        <v>16.29</v>
      </c>
      <c r="H61" s="90"/>
      <c r="I61" s="90"/>
      <c r="J61" s="78" t="s">
        <v>309</v>
      </c>
      <c r="K61" s="78" t="s">
        <v>160</v>
      </c>
      <c r="L61" s="38">
        <f>VLOOKUP(K61,Reinigungstage!A10:D31,4,FALSE)</f>
        <v>1</v>
      </c>
      <c r="M61" s="38">
        <f t="shared" si="10"/>
        <v>16.29</v>
      </c>
      <c r="N61" s="92">
        <f t="shared" si="11"/>
        <v>0</v>
      </c>
      <c r="O61" s="38">
        <f ca="1">IF('SVS GrundRG'!H61="",0,'SVS GrundRG'!H61)</f>
        <v>0</v>
      </c>
      <c r="P61" s="38">
        <f t="shared" si="12"/>
        <v>0</v>
      </c>
      <c r="Q61" s="38">
        <f t="shared" si="13"/>
        <v>0</v>
      </c>
      <c r="R61" s="38">
        <f t="shared" si="14"/>
        <v>0</v>
      </c>
      <c r="S61" s="16" t="str">
        <f t="shared" si="15"/>
        <v>Leistungswert eintragen</v>
      </c>
      <c r="U61" s="16">
        <f t="shared" si="16"/>
        <v>15</v>
      </c>
      <c r="V61" s="16">
        <f t="shared" si="17"/>
        <v>4.5</v>
      </c>
      <c r="W61" s="16">
        <f t="shared" si="18"/>
        <v>19.5</v>
      </c>
      <c r="X61" s="16" t="str">
        <f t="shared" si="19"/>
        <v/>
      </c>
    </row>
    <row r="62" spans="1:24" ht="15" customHeight="1" x14ac:dyDescent="0.2">
      <c r="A62" s="78">
        <v>41</v>
      </c>
      <c r="B62" s="88">
        <v>219</v>
      </c>
      <c r="C62" s="89" t="s">
        <v>248</v>
      </c>
      <c r="D62" s="89"/>
      <c r="E62" s="89" t="s">
        <v>233</v>
      </c>
      <c r="F62" s="89" t="s">
        <v>229</v>
      </c>
      <c r="G62" s="90">
        <v>67.33</v>
      </c>
      <c r="H62" s="90"/>
      <c r="I62" s="90"/>
      <c r="J62" s="78" t="s">
        <v>308</v>
      </c>
      <c r="K62" s="78" t="s">
        <v>160</v>
      </c>
      <c r="L62" s="38">
        <f>VLOOKUP(K62,Reinigungstage!A10:D31,4,FALSE)</f>
        <v>1</v>
      </c>
      <c r="M62" s="38">
        <f t="shared" si="10"/>
        <v>67.33</v>
      </c>
      <c r="N62" s="92">
        <f t="shared" si="11"/>
        <v>0</v>
      </c>
      <c r="O62" s="38">
        <f ca="1">IF('SVS GrundRG'!H61="",0,'SVS GrundRG'!H61)</f>
        <v>0</v>
      </c>
      <c r="P62" s="38">
        <f t="shared" si="12"/>
        <v>0</v>
      </c>
      <c r="Q62" s="38">
        <f t="shared" si="13"/>
        <v>0</v>
      </c>
      <c r="R62" s="38">
        <f t="shared" si="14"/>
        <v>0</v>
      </c>
      <c r="S62" s="16" t="str">
        <f t="shared" si="15"/>
        <v>Leistungswert eintragen</v>
      </c>
      <c r="U62" s="16">
        <f t="shared" si="16"/>
        <v>14</v>
      </c>
      <c r="V62" s="16">
        <f t="shared" si="17"/>
        <v>4.2</v>
      </c>
      <c r="W62" s="16">
        <f t="shared" si="18"/>
        <v>18.2</v>
      </c>
      <c r="X62" s="16" t="str">
        <f t="shared" si="19"/>
        <v/>
      </c>
    </row>
    <row r="63" spans="1:24" ht="15" customHeight="1" x14ac:dyDescent="0.2">
      <c r="A63" s="78">
        <v>42</v>
      </c>
      <c r="B63" s="88">
        <v>221</v>
      </c>
      <c r="C63" s="89" t="s">
        <v>248</v>
      </c>
      <c r="D63" s="89"/>
      <c r="E63" s="89" t="s">
        <v>235</v>
      </c>
      <c r="F63" s="89" t="s">
        <v>227</v>
      </c>
      <c r="G63" s="90">
        <v>17.440000000000001</v>
      </c>
      <c r="H63" s="90"/>
      <c r="I63" s="90"/>
      <c r="J63" s="78" t="s">
        <v>312</v>
      </c>
      <c r="K63" s="78" t="s">
        <v>160</v>
      </c>
      <c r="L63" s="38">
        <f>VLOOKUP(K63,Reinigungstage!A10:D31,4,FALSE)</f>
        <v>1</v>
      </c>
      <c r="M63" s="38">
        <f t="shared" si="10"/>
        <v>17.440000000000001</v>
      </c>
      <c r="N63" s="92">
        <f t="shared" si="11"/>
        <v>0</v>
      </c>
      <c r="O63" s="38">
        <f ca="1">IF('SVS GrundRG'!H61="",0,'SVS GrundRG'!H61)</f>
        <v>0</v>
      </c>
      <c r="P63" s="38">
        <f t="shared" si="12"/>
        <v>0</v>
      </c>
      <c r="Q63" s="38">
        <f t="shared" si="13"/>
        <v>0</v>
      </c>
      <c r="R63" s="38">
        <f t="shared" si="14"/>
        <v>0</v>
      </c>
      <c r="S63" s="16" t="str">
        <f t="shared" si="15"/>
        <v>Leistungswert eintragen</v>
      </c>
      <c r="U63" s="16">
        <f t="shared" si="16"/>
        <v>7</v>
      </c>
      <c r="V63" s="16">
        <f t="shared" si="17"/>
        <v>2.1</v>
      </c>
      <c r="W63" s="16">
        <f t="shared" si="18"/>
        <v>9.1</v>
      </c>
      <c r="X63" s="16" t="str">
        <f t="shared" si="19"/>
        <v/>
      </c>
    </row>
    <row r="64" spans="1:24" ht="15" customHeight="1" x14ac:dyDescent="0.2">
      <c r="A64" s="78">
        <v>43</v>
      </c>
      <c r="B64" s="88">
        <v>222</v>
      </c>
      <c r="C64" s="89" t="s">
        <v>248</v>
      </c>
      <c r="D64" s="89"/>
      <c r="E64" s="89" t="s">
        <v>236</v>
      </c>
      <c r="F64" s="89" t="s">
        <v>227</v>
      </c>
      <c r="G64" s="90">
        <v>5.33</v>
      </c>
      <c r="H64" s="90"/>
      <c r="I64" s="90"/>
      <c r="J64" s="78" t="s">
        <v>312</v>
      </c>
      <c r="K64" s="78" t="s">
        <v>160</v>
      </c>
      <c r="L64" s="38">
        <f>VLOOKUP(K64,Reinigungstage!A10:D31,4,FALSE)</f>
        <v>1</v>
      </c>
      <c r="M64" s="38">
        <f t="shared" si="10"/>
        <v>5.33</v>
      </c>
      <c r="N64" s="92">
        <f t="shared" si="11"/>
        <v>0</v>
      </c>
      <c r="O64" s="38">
        <f ca="1">IF('SVS GrundRG'!H61="",0,'SVS GrundRG'!H61)</f>
        <v>0</v>
      </c>
      <c r="P64" s="38">
        <f t="shared" si="12"/>
        <v>0</v>
      </c>
      <c r="Q64" s="38">
        <f t="shared" si="13"/>
        <v>0</v>
      </c>
      <c r="R64" s="38">
        <f t="shared" si="14"/>
        <v>0</v>
      </c>
      <c r="S64" s="16" t="str">
        <f t="shared" si="15"/>
        <v>Leistungswert eintragen</v>
      </c>
      <c r="U64" s="16">
        <f t="shared" si="16"/>
        <v>7</v>
      </c>
      <c r="V64" s="16">
        <f t="shared" si="17"/>
        <v>2.1</v>
      </c>
      <c r="W64" s="16">
        <f t="shared" si="18"/>
        <v>9.1</v>
      </c>
      <c r="X64" s="16" t="str">
        <f t="shared" si="19"/>
        <v/>
      </c>
    </row>
    <row r="65" spans="1:24" ht="15" customHeight="1" x14ac:dyDescent="0.2">
      <c r="A65" s="78">
        <v>44</v>
      </c>
      <c r="B65" s="88">
        <v>223</v>
      </c>
      <c r="C65" s="89" t="s">
        <v>248</v>
      </c>
      <c r="D65" s="89"/>
      <c r="E65" s="89" t="s">
        <v>237</v>
      </c>
      <c r="F65" s="89" t="s">
        <v>227</v>
      </c>
      <c r="G65" s="90">
        <v>16.86</v>
      </c>
      <c r="H65" s="90"/>
      <c r="I65" s="90"/>
      <c r="J65" s="78" t="s">
        <v>312</v>
      </c>
      <c r="K65" s="78" t="s">
        <v>160</v>
      </c>
      <c r="L65" s="38">
        <f>VLOOKUP(K65,Reinigungstage!A10:D31,4,FALSE)</f>
        <v>1</v>
      </c>
      <c r="M65" s="38">
        <f t="shared" si="10"/>
        <v>16.86</v>
      </c>
      <c r="N65" s="92">
        <f t="shared" si="11"/>
        <v>0</v>
      </c>
      <c r="O65" s="38">
        <f ca="1">IF('SVS GrundRG'!H61="",0,'SVS GrundRG'!H61)</f>
        <v>0</v>
      </c>
      <c r="P65" s="38">
        <f t="shared" si="12"/>
        <v>0</v>
      </c>
      <c r="Q65" s="38">
        <f t="shared" si="13"/>
        <v>0</v>
      </c>
      <c r="R65" s="38">
        <f t="shared" si="14"/>
        <v>0</v>
      </c>
      <c r="S65" s="16" t="str">
        <f t="shared" si="15"/>
        <v>Leistungswert eintragen</v>
      </c>
      <c r="U65" s="16">
        <f t="shared" si="16"/>
        <v>7</v>
      </c>
      <c r="V65" s="16">
        <f t="shared" si="17"/>
        <v>2.1</v>
      </c>
      <c r="W65" s="16">
        <f t="shared" si="18"/>
        <v>9.1</v>
      </c>
      <c r="X65" s="16" t="str">
        <f t="shared" si="19"/>
        <v/>
      </c>
    </row>
    <row r="66" spans="1:24" ht="15" customHeight="1" x14ac:dyDescent="0.2">
      <c r="A66" s="78">
        <v>45</v>
      </c>
      <c r="B66" s="88">
        <v>224</v>
      </c>
      <c r="C66" s="89" t="s">
        <v>248</v>
      </c>
      <c r="D66" s="89"/>
      <c r="E66" s="89" t="s">
        <v>256</v>
      </c>
      <c r="F66" s="89" t="s">
        <v>229</v>
      </c>
      <c r="G66" s="90">
        <v>78.430000000000007</v>
      </c>
      <c r="H66" s="90"/>
      <c r="I66" s="90"/>
      <c r="J66" s="78" t="s">
        <v>314</v>
      </c>
      <c r="K66" s="78" t="s">
        <v>160</v>
      </c>
      <c r="L66" s="38">
        <f>VLOOKUP(K66,Reinigungstage!A10:D31,4,FALSE)</f>
        <v>1</v>
      </c>
      <c r="M66" s="38">
        <f t="shared" si="10"/>
        <v>78.430000000000007</v>
      </c>
      <c r="N66" s="92">
        <f t="shared" si="11"/>
        <v>0</v>
      </c>
      <c r="O66" s="38">
        <f ca="1">IF('SVS GrundRG'!H61="",0,'SVS GrundRG'!H61)</f>
        <v>0</v>
      </c>
      <c r="P66" s="38">
        <f t="shared" si="12"/>
        <v>0</v>
      </c>
      <c r="Q66" s="38">
        <f t="shared" si="13"/>
        <v>0</v>
      </c>
      <c r="R66" s="38">
        <f t="shared" si="14"/>
        <v>0</v>
      </c>
      <c r="S66" s="16" t="str">
        <f t="shared" si="15"/>
        <v>Leistungswert eintragen</v>
      </c>
      <c r="U66" s="16">
        <f t="shared" si="16"/>
        <v>13</v>
      </c>
      <c r="V66" s="16">
        <f t="shared" si="17"/>
        <v>3.9</v>
      </c>
      <c r="W66" s="16">
        <f t="shared" si="18"/>
        <v>16.899999999999999</v>
      </c>
      <c r="X66" s="16" t="str">
        <f t="shared" si="19"/>
        <v/>
      </c>
    </row>
    <row r="67" spans="1:24" ht="15" customHeight="1" x14ac:dyDescent="0.2">
      <c r="A67" s="78">
        <v>46</v>
      </c>
      <c r="B67" s="88">
        <v>225</v>
      </c>
      <c r="C67" s="89" t="s">
        <v>248</v>
      </c>
      <c r="D67" s="89"/>
      <c r="E67" s="89" t="s">
        <v>257</v>
      </c>
      <c r="F67" s="89" t="s">
        <v>229</v>
      </c>
      <c r="G67" s="90">
        <v>12.78</v>
      </c>
      <c r="H67" s="90"/>
      <c r="I67" s="90"/>
      <c r="J67" s="78" t="s">
        <v>315</v>
      </c>
      <c r="K67" s="78" t="s">
        <v>160</v>
      </c>
      <c r="L67" s="38">
        <f>VLOOKUP(K67,Reinigungstage!A10:D31,4,FALSE)</f>
        <v>1</v>
      </c>
      <c r="M67" s="38">
        <f t="shared" si="10"/>
        <v>12.78</v>
      </c>
      <c r="N67" s="92">
        <f t="shared" si="11"/>
        <v>0</v>
      </c>
      <c r="O67" s="38">
        <f ca="1">IF('SVS GrundRG'!H61="",0,'SVS GrundRG'!H61)</f>
        <v>0</v>
      </c>
      <c r="P67" s="38">
        <f t="shared" si="12"/>
        <v>0</v>
      </c>
      <c r="Q67" s="38">
        <f t="shared" si="13"/>
        <v>0</v>
      </c>
      <c r="R67" s="38">
        <f t="shared" si="14"/>
        <v>0</v>
      </c>
      <c r="S67" s="16" t="str">
        <f t="shared" si="15"/>
        <v>Leistungswert eintragen</v>
      </c>
      <c r="U67" s="16">
        <f t="shared" si="16"/>
        <v>16.5</v>
      </c>
      <c r="V67" s="16">
        <f t="shared" si="17"/>
        <v>4.95</v>
      </c>
      <c r="W67" s="16">
        <f t="shared" si="18"/>
        <v>21.45</v>
      </c>
      <c r="X67" s="16" t="str">
        <f t="shared" si="19"/>
        <v/>
      </c>
    </row>
    <row r="68" spans="1:24" ht="15" customHeight="1" x14ac:dyDescent="0.2">
      <c r="A68" s="78">
        <v>47</v>
      </c>
      <c r="B68" s="88">
        <v>226</v>
      </c>
      <c r="C68" s="89" t="s">
        <v>248</v>
      </c>
      <c r="D68" s="89"/>
      <c r="E68" s="89" t="s">
        <v>258</v>
      </c>
      <c r="F68" s="89" t="s">
        <v>229</v>
      </c>
      <c r="G68" s="90">
        <v>10.58</v>
      </c>
      <c r="H68" s="90"/>
      <c r="I68" s="90"/>
      <c r="J68" s="78" t="s">
        <v>309</v>
      </c>
      <c r="K68" s="78" t="s">
        <v>160</v>
      </c>
      <c r="L68" s="38">
        <f>VLOOKUP(K68,Reinigungstage!A10:D31,4,FALSE)</f>
        <v>1</v>
      </c>
      <c r="M68" s="38">
        <f t="shared" si="10"/>
        <v>10.58</v>
      </c>
      <c r="N68" s="92">
        <f t="shared" si="11"/>
        <v>0</v>
      </c>
      <c r="O68" s="38">
        <f ca="1">IF('SVS GrundRG'!H61="",0,'SVS GrundRG'!H61)</f>
        <v>0</v>
      </c>
      <c r="P68" s="38">
        <f t="shared" si="12"/>
        <v>0</v>
      </c>
      <c r="Q68" s="38">
        <f t="shared" si="13"/>
        <v>0</v>
      </c>
      <c r="R68" s="38">
        <f t="shared" si="14"/>
        <v>0</v>
      </c>
      <c r="S68" s="16" t="str">
        <f t="shared" si="15"/>
        <v>Leistungswert eintragen</v>
      </c>
      <c r="U68" s="16">
        <f t="shared" si="16"/>
        <v>15</v>
      </c>
      <c r="V68" s="16">
        <f t="shared" si="17"/>
        <v>4.5</v>
      </c>
      <c r="W68" s="16">
        <f t="shared" si="18"/>
        <v>19.5</v>
      </c>
      <c r="X68" s="16" t="str">
        <f t="shared" si="19"/>
        <v/>
      </c>
    </row>
    <row r="69" spans="1:24" ht="15" customHeight="1" x14ac:dyDescent="0.2">
      <c r="A69" s="78">
        <v>48</v>
      </c>
      <c r="B69" s="88">
        <v>231</v>
      </c>
      <c r="C69" s="89" t="s">
        <v>248</v>
      </c>
      <c r="D69" s="89"/>
      <c r="E69" s="89" t="s">
        <v>259</v>
      </c>
      <c r="F69" s="89" t="s">
        <v>229</v>
      </c>
      <c r="G69" s="90">
        <v>68.349999999999994</v>
      </c>
      <c r="H69" s="90"/>
      <c r="I69" s="90"/>
      <c r="J69" s="78" t="s">
        <v>308</v>
      </c>
      <c r="K69" s="78" t="s">
        <v>160</v>
      </c>
      <c r="L69" s="38">
        <f>VLOOKUP(K69,Reinigungstage!A10:D31,4,FALSE)</f>
        <v>1</v>
      </c>
      <c r="M69" s="38">
        <f t="shared" si="10"/>
        <v>68.349999999999994</v>
      </c>
      <c r="N69" s="92">
        <f t="shared" si="11"/>
        <v>0</v>
      </c>
      <c r="O69" s="38">
        <f ca="1">IF('SVS GrundRG'!H61="",0,'SVS GrundRG'!H61)</f>
        <v>0</v>
      </c>
      <c r="P69" s="38">
        <f t="shared" si="12"/>
        <v>0</v>
      </c>
      <c r="Q69" s="38">
        <f t="shared" si="13"/>
        <v>0</v>
      </c>
      <c r="R69" s="38">
        <f t="shared" si="14"/>
        <v>0</v>
      </c>
      <c r="S69" s="16" t="str">
        <f t="shared" si="15"/>
        <v>Leistungswert eintragen</v>
      </c>
      <c r="U69" s="16">
        <f t="shared" si="16"/>
        <v>14</v>
      </c>
      <c r="V69" s="16">
        <f t="shared" si="17"/>
        <v>4.2</v>
      </c>
      <c r="W69" s="16">
        <f t="shared" si="18"/>
        <v>18.2</v>
      </c>
      <c r="X69" s="16" t="str">
        <f t="shared" si="19"/>
        <v/>
      </c>
    </row>
    <row r="70" spans="1:24" ht="15" customHeight="1" x14ac:dyDescent="0.2">
      <c r="A70" s="78">
        <v>49</v>
      </c>
      <c r="B70" s="88">
        <v>232</v>
      </c>
      <c r="C70" s="89" t="s">
        <v>248</v>
      </c>
      <c r="D70" s="89"/>
      <c r="E70" s="89" t="s">
        <v>260</v>
      </c>
      <c r="F70" s="89" t="s">
        <v>229</v>
      </c>
      <c r="G70" s="90">
        <v>28.3</v>
      </c>
      <c r="H70" s="90"/>
      <c r="I70" s="90"/>
      <c r="J70" s="78" t="s">
        <v>309</v>
      </c>
      <c r="K70" s="78" t="s">
        <v>160</v>
      </c>
      <c r="L70" s="38">
        <f>VLOOKUP(K70,Reinigungstage!A10:D31,4,FALSE)</f>
        <v>1</v>
      </c>
      <c r="M70" s="38">
        <f t="shared" si="10"/>
        <v>28.3</v>
      </c>
      <c r="N70" s="92">
        <f t="shared" si="11"/>
        <v>0</v>
      </c>
      <c r="O70" s="38">
        <f ca="1">IF('SVS GrundRG'!H61="",0,'SVS GrundRG'!H61)</f>
        <v>0</v>
      </c>
      <c r="P70" s="38">
        <f t="shared" si="12"/>
        <v>0</v>
      </c>
      <c r="Q70" s="38">
        <f t="shared" si="13"/>
        <v>0</v>
      </c>
      <c r="R70" s="38">
        <f t="shared" si="14"/>
        <v>0</v>
      </c>
      <c r="S70" s="16" t="str">
        <f t="shared" si="15"/>
        <v>Leistungswert eintragen</v>
      </c>
      <c r="U70" s="16">
        <f t="shared" si="16"/>
        <v>15</v>
      </c>
      <c r="V70" s="16">
        <f t="shared" si="17"/>
        <v>4.5</v>
      </c>
      <c r="W70" s="16">
        <f t="shared" si="18"/>
        <v>19.5</v>
      </c>
      <c r="X70" s="16" t="str">
        <f t="shared" si="19"/>
        <v/>
      </c>
    </row>
    <row r="71" spans="1:24" ht="15" customHeight="1" x14ac:dyDescent="0.2">
      <c r="A71" s="78">
        <v>50</v>
      </c>
      <c r="B71" s="88">
        <v>233</v>
      </c>
      <c r="C71" s="89" t="s">
        <v>248</v>
      </c>
      <c r="D71" s="89"/>
      <c r="E71" s="89" t="s">
        <v>261</v>
      </c>
      <c r="F71" s="89" t="s">
        <v>229</v>
      </c>
      <c r="G71" s="90">
        <v>28.31</v>
      </c>
      <c r="H71" s="90"/>
      <c r="I71" s="90"/>
      <c r="J71" s="78" t="s">
        <v>309</v>
      </c>
      <c r="K71" s="78" t="s">
        <v>160</v>
      </c>
      <c r="L71" s="38">
        <f>VLOOKUP(K71,Reinigungstage!A10:D31,4,FALSE)</f>
        <v>1</v>
      </c>
      <c r="M71" s="38">
        <f t="shared" si="10"/>
        <v>28.31</v>
      </c>
      <c r="N71" s="92">
        <f t="shared" si="11"/>
        <v>0</v>
      </c>
      <c r="O71" s="38">
        <f ca="1">IF('SVS GrundRG'!H61="",0,'SVS GrundRG'!H61)</f>
        <v>0</v>
      </c>
      <c r="P71" s="38">
        <f t="shared" si="12"/>
        <v>0</v>
      </c>
      <c r="Q71" s="38">
        <f t="shared" si="13"/>
        <v>0</v>
      </c>
      <c r="R71" s="38">
        <f t="shared" si="14"/>
        <v>0</v>
      </c>
      <c r="S71" s="16" t="str">
        <f t="shared" si="15"/>
        <v>Leistungswert eintragen</v>
      </c>
      <c r="U71" s="16">
        <f t="shared" si="16"/>
        <v>15</v>
      </c>
      <c r="V71" s="16">
        <f t="shared" si="17"/>
        <v>4.5</v>
      </c>
      <c r="W71" s="16">
        <f t="shared" si="18"/>
        <v>19.5</v>
      </c>
      <c r="X71" s="16" t="str">
        <f t="shared" si="19"/>
        <v/>
      </c>
    </row>
    <row r="72" spans="1:24" ht="15" customHeight="1" x14ac:dyDescent="0.2">
      <c r="A72" s="78">
        <v>51</v>
      </c>
      <c r="B72" s="88">
        <v>234</v>
      </c>
      <c r="C72" s="89" t="s">
        <v>248</v>
      </c>
      <c r="D72" s="89"/>
      <c r="E72" s="89" t="s">
        <v>262</v>
      </c>
      <c r="F72" s="89" t="s">
        <v>229</v>
      </c>
      <c r="G72" s="90">
        <v>68.349999999999994</v>
      </c>
      <c r="H72" s="90"/>
      <c r="I72" s="90"/>
      <c r="J72" s="78" t="s">
        <v>308</v>
      </c>
      <c r="K72" s="78" t="s">
        <v>160</v>
      </c>
      <c r="L72" s="38">
        <f>VLOOKUP(K72,Reinigungstage!A10:D31,4,FALSE)</f>
        <v>1</v>
      </c>
      <c r="M72" s="38">
        <f t="shared" si="10"/>
        <v>68.349999999999994</v>
      </c>
      <c r="N72" s="92">
        <f t="shared" si="11"/>
        <v>0</v>
      </c>
      <c r="O72" s="38">
        <f ca="1">IF('SVS GrundRG'!H61="",0,'SVS GrundRG'!H61)</f>
        <v>0</v>
      </c>
      <c r="P72" s="38">
        <f t="shared" si="12"/>
        <v>0</v>
      </c>
      <c r="Q72" s="38">
        <f t="shared" si="13"/>
        <v>0</v>
      </c>
      <c r="R72" s="38">
        <f t="shared" si="14"/>
        <v>0</v>
      </c>
      <c r="S72" s="16" t="str">
        <f t="shared" si="15"/>
        <v>Leistungswert eintragen</v>
      </c>
      <c r="U72" s="16">
        <f t="shared" si="16"/>
        <v>14</v>
      </c>
      <c r="V72" s="16">
        <f t="shared" si="17"/>
        <v>4.2</v>
      </c>
      <c r="W72" s="16">
        <f t="shared" si="18"/>
        <v>18.2</v>
      </c>
      <c r="X72" s="16" t="str">
        <f t="shared" si="19"/>
        <v/>
      </c>
    </row>
    <row r="73" spans="1:24" ht="15" customHeight="1" x14ac:dyDescent="0.2">
      <c r="A73" s="78">
        <v>52</v>
      </c>
      <c r="B73" s="88">
        <v>235</v>
      </c>
      <c r="C73" s="89" t="s">
        <v>248</v>
      </c>
      <c r="D73" s="89"/>
      <c r="E73" s="89" t="s">
        <v>263</v>
      </c>
      <c r="F73" s="89" t="s">
        <v>229</v>
      </c>
      <c r="G73" s="90">
        <v>29.78</v>
      </c>
      <c r="H73" s="90"/>
      <c r="I73" s="90"/>
      <c r="J73" s="78" t="s">
        <v>309</v>
      </c>
      <c r="K73" s="78" t="s">
        <v>160</v>
      </c>
      <c r="L73" s="38">
        <f>VLOOKUP(K73,Reinigungstage!A10:D31,4,FALSE)</f>
        <v>1</v>
      </c>
      <c r="M73" s="38">
        <f t="shared" si="10"/>
        <v>29.78</v>
      </c>
      <c r="N73" s="92">
        <f t="shared" si="11"/>
        <v>0</v>
      </c>
      <c r="O73" s="38">
        <f ca="1">IF('SVS GrundRG'!H61="",0,'SVS GrundRG'!H61)</f>
        <v>0</v>
      </c>
      <c r="P73" s="38">
        <f t="shared" si="12"/>
        <v>0</v>
      </c>
      <c r="Q73" s="38">
        <f t="shared" si="13"/>
        <v>0</v>
      </c>
      <c r="R73" s="38">
        <f t="shared" si="14"/>
        <v>0</v>
      </c>
      <c r="S73" s="16" t="str">
        <f t="shared" si="15"/>
        <v>Leistungswert eintragen</v>
      </c>
      <c r="U73" s="16">
        <f t="shared" si="16"/>
        <v>15</v>
      </c>
      <c r="V73" s="16">
        <f t="shared" si="17"/>
        <v>4.5</v>
      </c>
      <c r="W73" s="16">
        <f t="shared" si="18"/>
        <v>19.5</v>
      </c>
      <c r="X73" s="16" t="str">
        <f t="shared" si="19"/>
        <v/>
      </c>
    </row>
    <row r="74" spans="1:24" ht="15" customHeight="1" x14ac:dyDescent="0.2">
      <c r="A74" s="78">
        <v>53</v>
      </c>
      <c r="B74" s="88">
        <v>236</v>
      </c>
      <c r="C74" s="89" t="s">
        <v>248</v>
      </c>
      <c r="D74" s="89"/>
      <c r="E74" s="89" t="s">
        <v>264</v>
      </c>
      <c r="F74" s="89" t="s">
        <v>229</v>
      </c>
      <c r="G74" s="90">
        <v>66.61</v>
      </c>
      <c r="H74" s="90"/>
      <c r="I74" s="90"/>
      <c r="J74" s="78" t="s">
        <v>308</v>
      </c>
      <c r="K74" s="78" t="s">
        <v>160</v>
      </c>
      <c r="L74" s="38">
        <f>VLOOKUP(K74,Reinigungstage!A10:D31,4,FALSE)</f>
        <v>1</v>
      </c>
      <c r="M74" s="38">
        <f t="shared" si="10"/>
        <v>66.61</v>
      </c>
      <c r="N74" s="92">
        <f t="shared" si="11"/>
        <v>0</v>
      </c>
      <c r="O74" s="38">
        <f ca="1">IF('SVS GrundRG'!H61="",0,'SVS GrundRG'!H61)</f>
        <v>0</v>
      </c>
      <c r="P74" s="38">
        <f t="shared" si="12"/>
        <v>0</v>
      </c>
      <c r="Q74" s="38">
        <f t="shared" si="13"/>
        <v>0</v>
      </c>
      <c r="R74" s="38">
        <f t="shared" si="14"/>
        <v>0</v>
      </c>
      <c r="S74" s="16" t="str">
        <f t="shared" si="15"/>
        <v>Leistungswert eintragen</v>
      </c>
      <c r="U74" s="16">
        <f t="shared" si="16"/>
        <v>14</v>
      </c>
      <c r="V74" s="16">
        <f t="shared" si="17"/>
        <v>4.2</v>
      </c>
      <c r="W74" s="16">
        <f t="shared" si="18"/>
        <v>18.2</v>
      </c>
      <c r="X74" s="16" t="str">
        <f t="shared" si="19"/>
        <v/>
      </c>
    </row>
    <row r="75" spans="1:24" ht="21" x14ac:dyDescent="0.2">
      <c r="A75" s="78">
        <v>54</v>
      </c>
      <c r="B75" s="88">
        <v>241</v>
      </c>
      <c r="C75" s="89" t="s">
        <v>248</v>
      </c>
      <c r="D75" s="89"/>
      <c r="E75" s="89" t="s">
        <v>265</v>
      </c>
      <c r="F75" s="89" t="s">
        <v>229</v>
      </c>
      <c r="G75" s="90">
        <v>7.08</v>
      </c>
      <c r="H75" s="90"/>
      <c r="I75" s="90"/>
      <c r="J75" s="78" t="s">
        <v>313</v>
      </c>
      <c r="K75" s="78" t="s">
        <v>160</v>
      </c>
      <c r="L75" s="38">
        <f>VLOOKUP(K75,Reinigungstage!A10:D31,4,FALSE)</f>
        <v>1</v>
      </c>
      <c r="M75" s="38">
        <f t="shared" si="10"/>
        <v>7.08</v>
      </c>
      <c r="N75" s="92">
        <f t="shared" si="11"/>
        <v>0</v>
      </c>
      <c r="O75" s="38">
        <f ca="1">IF('SVS GrundRG'!H61="",0,'SVS GrundRG'!H61)</f>
        <v>0</v>
      </c>
      <c r="P75" s="38">
        <f t="shared" si="12"/>
        <v>0</v>
      </c>
      <c r="Q75" s="38">
        <f t="shared" si="13"/>
        <v>0</v>
      </c>
      <c r="R75" s="38">
        <f t="shared" si="14"/>
        <v>0</v>
      </c>
      <c r="S75" s="16" t="str">
        <f t="shared" si="15"/>
        <v>Leistungswert eintragen</v>
      </c>
      <c r="U75" s="16">
        <f t="shared" si="16"/>
        <v>24</v>
      </c>
      <c r="V75" s="16">
        <f t="shared" si="17"/>
        <v>7.1999999999999993</v>
      </c>
      <c r="W75" s="16">
        <f t="shared" si="18"/>
        <v>31.2</v>
      </c>
      <c r="X75" s="16" t="str">
        <f t="shared" si="19"/>
        <v/>
      </c>
    </row>
    <row r="76" spans="1:24" ht="15" customHeight="1" x14ac:dyDescent="0.2">
      <c r="A76" s="78">
        <v>55</v>
      </c>
      <c r="B76" s="88">
        <v>251</v>
      </c>
      <c r="C76" s="89" t="s">
        <v>248</v>
      </c>
      <c r="D76" s="89"/>
      <c r="E76" s="89" t="s">
        <v>232</v>
      </c>
      <c r="F76" s="89" t="s">
        <v>229</v>
      </c>
      <c r="G76" s="90">
        <v>42.27</v>
      </c>
      <c r="H76" s="90"/>
      <c r="I76" s="90"/>
      <c r="J76" s="78" t="s">
        <v>311</v>
      </c>
      <c r="K76" s="78" t="s">
        <v>160</v>
      </c>
      <c r="L76" s="38">
        <f>VLOOKUP(K76,Reinigungstage!A10:D31,4,FALSE)</f>
        <v>1</v>
      </c>
      <c r="M76" s="38">
        <f t="shared" ref="M76:M101" si="20">ROUND(IF(L76=0,0,L76*G76),2)</f>
        <v>42.27</v>
      </c>
      <c r="N76" s="92">
        <f t="shared" ref="N76:N101" si="21">VLOOKUP(J76,$G$4:$H$14,2,FALSE)</f>
        <v>0</v>
      </c>
      <c r="O76" s="38">
        <f ca="1">IF('SVS GrundRG'!H61="",0,'SVS GrundRG'!H61)</f>
        <v>0</v>
      </c>
      <c r="P76" s="38">
        <f t="shared" ref="P76:P101" si="22">ROUND(IF(N76=0,0,M76/N76),2)</f>
        <v>0</v>
      </c>
      <c r="Q76" s="38">
        <f t="shared" ref="Q76:Q101" si="23">ROUND(IF(P76=0,0,P76*O76),2)</f>
        <v>0</v>
      </c>
      <c r="R76" s="38">
        <f t="shared" ref="R76:R101" si="24">ROUND(IF(P76=0,0,Q76/L76),2)</f>
        <v>0</v>
      </c>
      <c r="S76" s="16" t="str">
        <f t="shared" ref="S76:S101" si="25">IF(M76=0,"",IF(N76=0,"Leistungswert eintragen",IF(O76=0,"SVS prüfen","")))</f>
        <v>Leistungswert eintragen</v>
      </c>
      <c r="U76" s="16">
        <f t="shared" ref="U76:U101" si="26">VLOOKUP(J76,$U$4:$V$14,2,FALSE)</f>
        <v>15</v>
      </c>
      <c r="V76" s="16">
        <f t="shared" ref="V76:V101" si="27">U76*30%</f>
        <v>4.5</v>
      </c>
      <c r="W76" s="16">
        <f t="shared" ref="W76:W101" si="28">SUM(U76:V76)</f>
        <v>19.5</v>
      </c>
      <c r="X76" s="16" t="str">
        <f t="shared" ref="X76:X101" si="29">IF(N76=0,"",IF(W76&lt;N76,1,IF(W76&gt;=N76,0,"")))</f>
        <v/>
      </c>
    </row>
    <row r="77" spans="1:24" ht="15" customHeight="1" x14ac:dyDescent="0.2">
      <c r="A77" s="78">
        <v>56</v>
      </c>
      <c r="B77" s="88">
        <v>252</v>
      </c>
      <c r="C77" s="89" t="s">
        <v>248</v>
      </c>
      <c r="D77" s="89"/>
      <c r="E77" s="89" t="s">
        <v>232</v>
      </c>
      <c r="F77" s="89" t="s">
        <v>229</v>
      </c>
      <c r="G77" s="90">
        <v>32.19</v>
      </c>
      <c r="H77" s="90"/>
      <c r="I77" s="90"/>
      <c r="J77" s="78" t="s">
        <v>311</v>
      </c>
      <c r="K77" s="78" t="s">
        <v>160</v>
      </c>
      <c r="L77" s="38">
        <f>VLOOKUP(K77,Reinigungstage!A10:D31,4,FALSE)</f>
        <v>1</v>
      </c>
      <c r="M77" s="38">
        <f t="shared" si="20"/>
        <v>32.19</v>
      </c>
      <c r="N77" s="92">
        <f t="shared" si="21"/>
        <v>0</v>
      </c>
      <c r="O77" s="38">
        <f ca="1">IF('SVS GrundRG'!H61="",0,'SVS GrundRG'!H61)</f>
        <v>0</v>
      </c>
      <c r="P77" s="38">
        <f t="shared" si="22"/>
        <v>0</v>
      </c>
      <c r="Q77" s="38">
        <f t="shared" si="23"/>
        <v>0</v>
      </c>
      <c r="R77" s="38">
        <f t="shared" si="24"/>
        <v>0</v>
      </c>
      <c r="S77" s="16" t="str">
        <f t="shared" si="25"/>
        <v>Leistungswert eintragen</v>
      </c>
      <c r="U77" s="16">
        <f t="shared" si="26"/>
        <v>15</v>
      </c>
      <c r="V77" s="16">
        <f t="shared" si="27"/>
        <v>4.5</v>
      </c>
      <c r="W77" s="16">
        <f t="shared" si="28"/>
        <v>19.5</v>
      </c>
      <c r="X77" s="16" t="str">
        <f t="shared" si="29"/>
        <v/>
      </c>
    </row>
    <row r="78" spans="1:24" ht="15" customHeight="1" x14ac:dyDescent="0.2">
      <c r="A78" s="78">
        <v>57</v>
      </c>
      <c r="B78" s="88">
        <v>253</v>
      </c>
      <c r="C78" s="89" t="s">
        <v>248</v>
      </c>
      <c r="D78" s="89"/>
      <c r="E78" s="89" t="s">
        <v>271</v>
      </c>
      <c r="F78" s="89" t="s">
        <v>229</v>
      </c>
      <c r="G78" s="90">
        <v>32.19</v>
      </c>
      <c r="H78" s="90"/>
      <c r="I78" s="90"/>
      <c r="J78" s="78" t="s">
        <v>309</v>
      </c>
      <c r="K78" s="78" t="s">
        <v>160</v>
      </c>
      <c r="L78" s="38">
        <f>VLOOKUP(K78,Reinigungstage!A10:D31,4,FALSE)</f>
        <v>1</v>
      </c>
      <c r="M78" s="38">
        <f t="shared" si="20"/>
        <v>32.19</v>
      </c>
      <c r="N78" s="92">
        <f t="shared" si="21"/>
        <v>0</v>
      </c>
      <c r="O78" s="38">
        <f ca="1">IF('SVS GrundRG'!H61="",0,'SVS GrundRG'!H61)</f>
        <v>0</v>
      </c>
      <c r="P78" s="38">
        <f t="shared" si="22"/>
        <v>0</v>
      </c>
      <c r="Q78" s="38">
        <f t="shared" si="23"/>
        <v>0</v>
      </c>
      <c r="R78" s="38">
        <f t="shared" si="24"/>
        <v>0</v>
      </c>
      <c r="S78" s="16" t="str">
        <f t="shared" si="25"/>
        <v>Leistungswert eintragen</v>
      </c>
      <c r="U78" s="16">
        <f t="shared" si="26"/>
        <v>15</v>
      </c>
      <c r="V78" s="16">
        <f t="shared" si="27"/>
        <v>4.5</v>
      </c>
      <c r="W78" s="16">
        <f t="shared" si="28"/>
        <v>19.5</v>
      </c>
      <c r="X78" s="16" t="str">
        <f t="shared" si="29"/>
        <v/>
      </c>
    </row>
    <row r="79" spans="1:24" ht="15" customHeight="1" x14ac:dyDescent="0.2">
      <c r="A79" s="78">
        <v>58</v>
      </c>
      <c r="B79" s="88">
        <v>254</v>
      </c>
      <c r="C79" s="89" t="s">
        <v>248</v>
      </c>
      <c r="D79" s="89"/>
      <c r="E79" s="89" t="s">
        <v>232</v>
      </c>
      <c r="F79" s="89" t="s">
        <v>229</v>
      </c>
      <c r="G79" s="90">
        <v>40.44</v>
      </c>
      <c r="H79" s="90"/>
      <c r="I79" s="90"/>
      <c r="J79" s="78" t="s">
        <v>311</v>
      </c>
      <c r="K79" s="78" t="s">
        <v>160</v>
      </c>
      <c r="L79" s="38">
        <f>VLOOKUP(K79,Reinigungstage!A10:D31,4,FALSE)</f>
        <v>1</v>
      </c>
      <c r="M79" s="38">
        <f t="shared" si="20"/>
        <v>40.44</v>
      </c>
      <c r="N79" s="92">
        <f t="shared" si="21"/>
        <v>0</v>
      </c>
      <c r="O79" s="38">
        <f ca="1">IF('SVS GrundRG'!H61="",0,'SVS GrundRG'!H61)</f>
        <v>0</v>
      </c>
      <c r="P79" s="38">
        <f t="shared" si="22"/>
        <v>0</v>
      </c>
      <c r="Q79" s="38">
        <f t="shared" si="23"/>
        <v>0</v>
      </c>
      <c r="R79" s="38">
        <f t="shared" si="24"/>
        <v>0</v>
      </c>
      <c r="S79" s="16" t="str">
        <f t="shared" si="25"/>
        <v>Leistungswert eintragen</v>
      </c>
      <c r="U79" s="16">
        <f t="shared" si="26"/>
        <v>15</v>
      </c>
      <c r="V79" s="16">
        <f t="shared" si="27"/>
        <v>4.5</v>
      </c>
      <c r="W79" s="16">
        <f t="shared" si="28"/>
        <v>19.5</v>
      </c>
      <c r="X79" s="16" t="str">
        <f t="shared" si="29"/>
        <v/>
      </c>
    </row>
    <row r="80" spans="1:24" ht="15" customHeight="1" x14ac:dyDescent="0.2">
      <c r="A80" s="78">
        <v>59</v>
      </c>
      <c r="B80" s="88">
        <v>272</v>
      </c>
      <c r="C80" s="89" t="s">
        <v>248</v>
      </c>
      <c r="D80" s="89"/>
      <c r="E80" s="89" t="s">
        <v>240</v>
      </c>
      <c r="F80" s="89" t="s">
        <v>227</v>
      </c>
      <c r="G80" s="90">
        <v>40.22</v>
      </c>
      <c r="H80" s="90"/>
      <c r="I80" s="90"/>
      <c r="J80" s="78" t="s">
        <v>307</v>
      </c>
      <c r="K80" s="78" t="s">
        <v>160</v>
      </c>
      <c r="L80" s="38">
        <f>VLOOKUP(K80,Reinigungstage!A10:D31,4,FALSE)</f>
        <v>1</v>
      </c>
      <c r="M80" s="38">
        <f t="shared" si="20"/>
        <v>40.22</v>
      </c>
      <c r="N80" s="92">
        <f t="shared" si="21"/>
        <v>0</v>
      </c>
      <c r="O80" s="38">
        <f ca="1">IF('SVS GrundRG'!H61="",0,'SVS GrundRG'!H61)</f>
        <v>0</v>
      </c>
      <c r="P80" s="38">
        <f t="shared" si="22"/>
        <v>0</v>
      </c>
      <c r="Q80" s="38">
        <f t="shared" si="23"/>
        <v>0</v>
      </c>
      <c r="R80" s="38">
        <f t="shared" si="24"/>
        <v>0</v>
      </c>
      <c r="S80" s="16" t="str">
        <f t="shared" si="25"/>
        <v>Leistungswert eintragen</v>
      </c>
      <c r="U80" s="16">
        <f t="shared" si="26"/>
        <v>14</v>
      </c>
      <c r="V80" s="16">
        <f t="shared" si="27"/>
        <v>4.2</v>
      </c>
      <c r="W80" s="16">
        <f t="shared" si="28"/>
        <v>18.2</v>
      </c>
      <c r="X80" s="16" t="str">
        <f t="shared" si="29"/>
        <v/>
      </c>
    </row>
    <row r="81" spans="1:24" ht="15" customHeight="1" x14ac:dyDescent="0.2">
      <c r="A81" s="78">
        <v>60</v>
      </c>
      <c r="B81" s="88">
        <v>275</v>
      </c>
      <c r="C81" s="89" t="s">
        <v>248</v>
      </c>
      <c r="D81" s="89"/>
      <c r="E81" s="89" t="s">
        <v>245</v>
      </c>
      <c r="F81" s="89" t="s">
        <v>229</v>
      </c>
      <c r="G81" s="90">
        <v>93.63</v>
      </c>
      <c r="H81" s="90"/>
      <c r="I81" s="90"/>
      <c r="J81" s="78" t="s">
        <v>313</v>
      </c>
      <c r="K81" s="78" t="s">
        <v>160</v>
      </c>
      <c r="L81" s="38">
        <f>VLOOKUP(K81,Reinigungstage!A10:D31,4,FALSE)</f>
        <v>1</v>
      </c>
      <c r="M81" s="38">
        <f t="shared" si="20"/>
        <v>93.63</v>
      </c>
      <c r="N81" s="92">
        <f t="shared" si="21"/>
        <v>0</v>
      </c>
      <c r="O81" s="38">
        <f ca="1">IF('SVS GrundRG'!H61="",0,'SVS GrundRG'!H61)</f>
        <v>0</v>
      </c>
      <c r="P81" s="38">
        <f t="shared" si="22"/>
        <v>0</v>
      </c>
      <c r="Q81" s="38">
        <f t="shared" si="23"/>
        <v>0</v>
      </c>
      <c r="R81" s="38">
        <f t="shared" si="24"/>
        <v>0</v>
      </c>
      <c r="S81" s="16" t="str">
        <f t="shared" si="25"/>
        <v>Leistungswert eintragen</v>
      </c>
      <c r="U81" s="16">
        <f t="shared" si="26"/>
        <v>24</v>
      </c>
      <c r="V81" s="16">
        <f t="shared" si="27"/>
        <v>7.1999999999999993</v>
      </c>
      <c r="W81" s="16">
        <f t="shared" si="28"/>
        <v>31.2</v>
      </c>
      <c r="X81" s="16" t="str">
        <f t="shared" si="29"/>
        <v/>
      </c>
    </row>
    <row r="82" spans="1:24" ht="15" customHeight="1" x14ac:dyDescent="0.2">
      <c r="A82" s="78">
        <v>61</v>
      </c>
      <c r="B82" s="88">
        <v>276</v>
      </c>
      <c r="C82" s="89" t="s">
        <v>248</v>
      </c>
      <c r="D82" s="89"/>
      <c r="E82" s="89" t="s">
        <v>245</v>
      </c>
      <c r="F82" s="89" t="s">
        <v>229</v>
      </c>
      <c r="G82" s="90">
        <v>102.33</v>
      </c>
      <c r="H82" s="90"/>
      <c r="I82" s="90"/>
      <c r="J82" s="78" t="s">
        <v>313</v>
      </c>
      <c r="K82" s="78" t="s">
        <v>160</v>
      </c>
      <c r="L82" s="38">
        <f>VLOOKUP(K82,Reinigungstage!A10:D31,4,FALSE)</f>
        <v>1</v>
      </c>
      <c r="M82" s="38">
        <f t="shared" si="20"/>
        <v>102.33</v>
      </c>
      <c r="N82" s="92">
        <f t="shared" si="21"/>
        <v>0</v>
      </c>
      <c r="O82" s="38">
        <f ca="1">IF('SVS GrundRG'!H61="",0,'SVS GrundRG'!H61)</f>
        <v>0</v>
      </c>
      <c r="P82" s="38">
        <f t="shared" si="22"/>
        <v>0</v>
      </c>
      <c r="Q82" s="38">
        <f t="shared" si="23"/>
        <v>0</v>
      </c>
      <c r="R82" s="38">
        <f t="shared" si="24"/>
        <v>0</v>
      </c>
      <c r="S82" s="16" t="str">
        <f t="shared" si="25"/>
        <v>Leistungswert eintragen</v>
      </c>
      <c r="U82" s="16">
        <f t="shared" si="26"/>
        <v>24</v>
      </c>
      <c r="V82" s="16">
        <f t="shared" si="27"/>
        <v>7.1999999999999993</v>
      </c>
      <c r="W82" s="16">
        <f t="shared" si="28"/>
        <v>31.2</v>
      </c>
      <c r="X82" s="16" t="str">
        <f t="shared" si="29"/>
        <v/>
      </c>
    </row>
    <row r="83" spans="1:24" ht="15" customHeight="1" x14ac:dyDescent="0.2">
      <c r="A83" s="78">
        <v>62</v>
      </c>
      <c r="B83" s="88">
        <v>277</v>
      </c>
      <c r="C83" s="89" t="s">
        <v>248</v>
      </c>
      <c r="D83" s="89"/>
      <c r="E83" s="89" t="s">
        <v>245</v>
      </c>
      <c r="F83" s="89" t="s">
        <v>229</v>
      </c>
      <c r="G83" s="90">
        <v>67.19</v>
      </c>
      <c r="H83" s="90"/>
      <c r="I83" s="90"/>
      <c r="J83" s="78" t="s">
        <v>313</v>
      </c>
      <c r="K83" s="78" t="s">
        <v>160</v>
      </c>
      <c r="L83" s="38">
        <f>VLOOKUP(K83,Reinigungstage!A10:D31,4,FALSE)</f>
        <v>1</v>
      </c>
      <c r="M83" s="38">
        <f t="shared" si="20"/>
        <v>67.19</v>
      </c>
      <c r="N83" s="92">
        <f t="shared" si="21"/>
        <v>0</v>
      </c>
      <c r="O83" s="38">
        <f ca="1">IF('SVS GrundRG'!H61="",0,'SVS GrundRG'!H61)</f>
        <v>0</v>
      </c>
      <c r="P83" s="38">
        <f t="shared" si="22"/>
        <v>0</v>
      </c>
      <c r="Q83" s="38">
        <f t="shared" si="23"/>
        <v>0</v>
      </c>
      <c r="R83" s="38">
        <f t="shared" si="24"/>
        <v>0</v>
      </c>
      <c r="S83" s="16" t="str">
        <f t="shared" si="25"/>
        <v>Leistungswert eintragen</v>
      </c>
      <c r="U83" s="16">
        <f t="shared" si="26"/>
        <v>24</v>
      </c>
      <c r="V83" s="16">
        <f t="shared" si="27"/>
        <v>7.1999999999999993</v>
      </c>
      <c r="W83" s="16">
        <f t="shared" si="28"/>
        <v>31.2</v>
      </c>
      <c r="X83" s="16" t="str">
        <f t="shared" si="29"/>
        <v/>
      </c>
    </row>
    <row r="84" spans="1:24" ht="15" customHeight="1" x14ac:dyDescent="0.2">
      <c r="A84" s="78">
        <v>63</v>
      </c>
      <c r="B84" s="88">
        <v>279</v>
      </c>
      <c r="C84" s="89" t="s">
        <v>248</v>
      </c>
      <c r="D84" s="89"/>
      <c r="E84" s="89" t="s">
        <v>247</v>
      </c>
      <c r="F84" s="89" t="s">
        <v>227</v>
      </c>
      <c r="G84" s="90">
        <v>40.19</v>
      </c>
      <c r="H84" s="90"/>
      <c r="I84" s="90"/>
      <c r="J84" s="78" t="s">
        <v>307</v>
      </c>
      <c r="K84" s="78" t="s">
        <v>160</v>
      </c>
      <c r="L84" s="38">
        <f>VLOOKUP(K84,Reinigungstage!A10:D31,4,FALSE)</f>
        <v>1</v>
      </c>
      <c r="M84" s="38">
        <f t="shared" si="20"/>
        <v>40.19</v>
      </c>
      <c r="N84" s="92">
        <f t="shared" si="21"/>
        <v>0</v>
      </c>
      <c r="O84" s="38">
        <f ca="1">IF('SVS GrundRG'!H61="",0,'SVS GrundRG'!H61)</f>
        <v>0</v>
      </c>
      <c r="P84" s="38">
        <f t="shared" si="22"/>
        <v>0</v>
      </c>
      <c r="Q84" s="38">
        <f t="shared" si="23"/>
        <v>0</v>
      </c>
      <c r="R84" s="38">
        <f t="shared" si="24"/>
        <v>0</v>
      </c>
      <c r="S84" s="16" t="str">
        <f t="shared" si="25"/>
        <v>Leistungswert eintragen</v>
      </c>
      <c r="U84" s="16">
        <f t="shared" si="26"/>
        <v>14</v>
      </c>
      <c r="V84" s="16">
        <f t="shared" si="27"/>
        <v>4.2</v>
      </c>
      <c r="W84" s="16">
        <f t="shared" si="28"/>
        <v>18.2</v>
      </c>
      <c r="X84" s="16" t="str">
        <f t="shared" si="29"/>
        <v/>
      </c>
    </row>
    <row r="85" spans="1:24" ht="15" customHeight="1" x14ac:dyDescent="0.2">
      <c r="A85" s="78">
        <v>64</v>
      </c>
      <c r="B85" s="88">
        <v>281</v>
      </c>
      <c r="C85" s="89" t="s">
        <v>248</v>
      </c>
      <c r="D85" s="89"/>
      <c r="E85" s="89" t="s">
        <v>273</v>
      </c>
      <c r="F85" s="89" t="s">
        <v>229</v>
      </c>
      <c r="G85" s="90">
        <v>93.78</v>
      </c>
      <c r="H85" s="90"/>
      <c r="I85" s="90"/>
      <c r="J85" s="78" t="s">
        <v>313</v>
      </c>
      <c r="K85" s="78" t="s">
        <v>160</v>
      </c>
      <c r="L85" s="38">
        <f>VLOOKUP(K85,Reinigungstage!A10:D31,4,FALSE)</f>
        <v>1</v>
      </c>
      <c r="M85" s="38">
        <f t="shared" si="20"/>
        <v>93.78</v>
      </c>
      <c r="N85" s="92">
        <f t="shared" si="21"/>
        <v>0</v>
      </c>
      <c r="O85" s="38">
        <f ca="1">IF('SVS GrundRG'!H61="",0,'SVS GrundRG'!H61)</f>
        <v>0</v>
      </c>
      <c r="P85" s="38">
        <f t="shared" si="22"/>
        <v>0</v>
      </c>
      <c r="Q85" s="38">
        <f t="shared" si="23"/>
        <v>0</v>
      </c>
      <c r="R85" s="38">
        <f t="shared" si="24"/>
        <v>0</v>
      </c>
      <c r="S85" s="16" t="str">
        <f t="shared" si="25"/>
        <v>Leistungswert eintragen</v>
      </c>
      <c r="U85" s="16">
        <f t="shared" si="26"/>
        <v>24</v>
      </c>
      <c r="V85" s="16">
        <f t="shared" si="27"/>
        <v>7.1999999999999993</v>
      </c>
      <c r="W85" s="16">
        <f t="shared" si="28"/>
        <v>31.2</v>
      </c>
      <c r="X85" s="16" t="str">
        <f t="shared" si="29"/>
        <v/>
      </c>
    </row>
    <row r="86" spans="1:24" ht="15" customHeight="1" x14ac:dyDescent="0.2">
      <c r="A86" s="78">
        <v>65</v>
      </c>
      <c r="B86" s="88">
        <v>282</v>
      </c>
      <c r="C86" s="89" t="s">
        <v>248</v>
      </c>
      <c r="D86" s="89"/>
      <c r="E86" s="89" t="s">
        <v>274</v>
      </c>
      <c r="F86" s="89" t="s">
        <v>227</v>
      </c>
      <c r="G86" s="90">
        <v>17.98</v>
      </c>
      <c r="H86" s="90"/>
      <c r="I86" s="90"/>
      <c r="J86" s="78" t="s">
        <v>307</v>
      </c>
      <c r="K86" s="78" t="s">
        <v>160</v>
      </c>
      <c r="L86" s="38">
        <f>VLOOKUP(K86,Reinigungstage!A10:D31,4,FALSE)</f>
        <v>1</v>
      </c>
      <c r="M86" s="38">
        <f t="shared" si="20"/>
        <v>17.98</v>
      </c>
      <c r="N86" s="92">
        <f t="shared" si="21"/>
        <v>0</v>
      </c>
      <c r="O86" s="38">
        <f ca="1">IF('SVS GrundRG'!H61="",0,'SVS GrundRG'!H61)</f>
        <v>0</v>
      </c>
      <c r="P86" s="38">
        <f t="shared" si="22"/>
        <v>0</v>
      </c>
      <c r="Q86" s="38">
        <f t="shared" si="23"/>
        <v>0</v>
      </c>
      <c r="R86" s="38">
        <f t="shared" si="24"/>
        <v>0</v>
      </c>
      <c r="S86" s="16" t="str">
        <f t="shared" si="25"/>
        <v>Leistungswert eintragen</v>
      </c>
      <c r="U86" s="16">
        <f t="shared" si="26"/>
        <v>14</v>
      </c>
      <c r="V86" s="16">
        <f t="shared" si="27"/>
        <v>4.2</v>
      </c>
      <c r="W86" s="16">
        <f t="shared" si="28"/>
        <v>18.2</v>
      </c>
      <c r="X86" s="16" t="str">
        <f t="shared" si="29"/>
        <v/>
      </c>
    </row>
    <row r="87" spans="1:24" ht="15" customHeight="1" x14ac:dyDescent="0.2">
      <c r="A87" s="78">
        <v>66</v>
      </c>
      <c r="B87" s="88">
        <v>291</v>
      </c>
      <c r="C87" s="89" t="s">
        <v>248</v>
      </c>
      <c r="D87" s="89"/>
      <c r="E87" s="89" t="s">
        <v>245</v>
      </c>
      <c r="F87" s="89" t="s">
        <v>229</v>
      </c>
      <c r="G87" s="90">
        <v>120.8</v>
      </c>
      <c r="H87" s="90"/>
      <c r="I87" s="90"/>
      <c r="J87" s="78" t="s">
        <v>313</v>
      </c>
      <c r="K87" s="78" t="s">
        <v>160</v>
      </c>
      <c r="L87" s="38">
        <f>VLOOKUP(K87,Reinigungstage!A10:D31,4,FALSE)</f>
        <v>1</v>
      </c>
      <c r="M87" s="38">
        <f t="shared" si="20"/>
        <v>120.8</v>
      </c>
      <c r="N87" s="92">
        <f t="shared" si="21"/>
        <v>0</v>
      </c>
      <c r="O87" s="38">
        <f ca="1">IF('SVS GrundRG'!H61="",0,'SVS GrundRG'!H61)</f>
        <v>0</v>
      </c>
      <c r="P87" s="38">
        <f t="shared" si="22"/>
        <v>0</v>
      </c>
      <c r="Q87" s="38">
        <f t="shared" si="23"/>
        <v>0</v>
      </c>
      <c r="R87" s="38">
        <f t="shared" si="24"/>
        <v>0</v>
      </c>
      <c r="S87" s="16" t="str">
        <f t="shared" si="25"/>
        <v>Leistungswert eintragen</v>
      </c>
      <c r="U87" s="16">
        <f t="shared" si="26"/>
        <v>24</v>
      </c>
      <c r="V87" s="16">
        <f t="shared" si="27"/>
        <v>7.1999999999999993</v>
      </c>
      <c r="W87" s="16">
        <f t="shared" si="28"/>
        <v>31.2</v>
      </c>
      <c r="X87" s="16" t="str">
        <f t="shared" si="29"/>
        <v/>
      </c>
    </row>
    <row r="88" spans="1:24" ht="15" customHeight="1" x14ac:dyDescent="0.2">
      <c r="A88" s="78">
        <v>67</v>
      </c>
      <c r="B88" s="88">
        <v>292</v>
      </c>
      <c r="C88" s="89" t="s">
        <v>248</v>
      </c>
      <c r="D88" s="89"/>
      <c r="E88" s="89" t="s">
        <v>275</v>
      </c>
      <c r="F88" s="89" t="s">
        <v>227</v>
      </c>
      <c r="G88" s="90">
        <v>24.35</v>
      </c>
      <c r="H88" s="90"/>
      <c r="I88" s="90"/>
      <c r="J88" s="78" t="s">
        <v>307</v>
      </c>
      <c r="K88" s="78" t="s">
        <v>160</v>
      </c>
      <c r="L88" s="38">
        <f>VLOOKUP(K88,Reinigungstage!A10:D31,4,FALSE)</f>
        <v>1</v>
      </c>
      <c r="M88" s="38">
        <f t="shared" si="20"/>
        <v>24.35</v>
      </c>
      <c r="N88" s="92">
        <f t="shared" si="21"/>
        <v>0</v>
      </c>
      <c r="O88" s="38">
        <f ca="1">IF('SVS GrundRG'!H61="",0,'SVS GrundRG'!H61)</f>
        <v>0</v>
      </c>
      <c r="P88" s="38">
        <f t="shared" si="22"/>
        <v>0</v>
      </c>
      <c r="Q88" s="38">
        <f t="shared" si="23"/>
        <v>0</v>
      </c>
      <c r="R88" s="38">
        <f t="shared" si="24"/>
        <v>0</v>
      </c>
      <c r="S88" s="16" t="str">
        <f t="shared" si="25"/>
        <v>Leistungswert eintragen</v>
      </c>
      <c r="U88" s="16">
        <f t="shared" si="26"/>
        <v>14</v>
      </c>
      <c r="V88" s="16">
        <f t="shared" si="27"/>
        <v>4.2</v>
      </c>
      <c r="W88" s="16">
        <f t="shared" si="28"/>
        <v>18.2</v>
      </c>
      <c r="X88" s="16" t="str">
        <f t="shared" si="29"/>
        <v/>
      </c>
    </row>
    <row r="89" spans="1:24" ht="15" customHeight="1" x14ac:dyDescent="0.2">
      <c r="A89" s="78">
        <v>68</v>
      </c>
      <c r="B89" s="88">
        <v>101</v>
      </c>
      <c r="C89" s="89" t="s">
        <v>276</v>
      </c>
      <c r="D89" s="89"/>
      <c r="E89" s="89" t="s">
        <v>277</v>
      </c>
      <c r="F89" s="89" t="s">
        <v>227</v>
      </c>
      <c r="G89" s="90">
        <v>96.38</v>
      </c>
      <c r="H89" s="90"/>
      <c r="I89" s="90"/>
      <c r="J89" s="78" t="s">
        <v>313</v>
      </c>
      <c r="K89" s="78" t="s">
        <v>160</v>
      </c>
      <c r="L89" s="38">
        <f>VLOOKUP(K89,Reinigungstage!A10:D31,4,FALSE)</f>
        <v>1</v>
      </c>
      <c r="M89" s="38">
        <f t="shared" si="20"/>
        <v>96.38</v>
      </c>
      <c r="N89" s="92">
        <f t="shared" si="21"/>
        <v>0</v>
      </c>
      <c r="O89" s="38">
        <f ca="1">IF('SVS GrundRG'!H61="",0,'SVS GrundRG'!H61)</f>
        <v>0</v>
      </c>
      <c r="P89" s="38">
        <f t="shared" si="22"/>
        <v>0</v>
      </c>
      <c r="Q89" s="38">
        <f t="shared" si="23"/>
        <v>0</v>
      </c>
      <c r="R89" s="38">
        <f t="shared" si="24"/>
        <v>0</v>
      </c>
      <c r="S89" s="16" t="str">
        <f t="shared" si="25"/>
        <v>Leistungswert eintragen</v>
      </c>
      <c r="U89" s="16">
        <f t="shared" si="26"/>
        <v>24</v>
      </c>
      <c r="V89" s="16">
        <f t="shared" si="27"/>
        <v>7.1999999999999993</v>
      </c>
      <c r="W89" s="16">
        <f t="shared" si="28"/>
        <v>31.2</v>
      </c>
      <c r="X89" s="16" t="str">
        <f t="shared" si="29"/>
        <v/>
      </c>
    </row>
    <row r="90" spans="1:24" ht="15" customHeight="1" x14ac:dyDescent="0.2">
      <c r="A90" s="78">
        <v>69</v>
      </c>
      <c r="B90" s="88">
        <v>102</v>
      </c>
      <c r="C90" s="89" t="s">
        <v>276</v>
      </c>
      <c r="D90" s="89"/>
      <c r="E90" s="89" t="s">
        <v>277</v>
      </c>
      <c r="F90" s="89" t="s">
        <v>227</v>
      </c>
      <c r="G90" s="90">
        <v>41.73</v>
      </c>
      <c r="H90" s="90"/>
      <c r="I90" s="90"/>
      <c r="J90" s="78" t="s">
        <v>313</v>
      </c>
      <c r="K90" s="78" t="s">
        <v>160</v>
      </c>
      <c r="L90" s="38">
        <f>VLOOKUP(K90,Reinigungstage!A10:D31,4,FALSE)</f>
        <v>1</v>
      </c>
      <c r="M90" s="38">
        <f t="shared" si="20"/>
        <v>41.73</v>
      </c>
      <c r="N90" s="92">
        <f t="shared" si="21"/>
        <v>0</v>
      </c>
      <c r="O90" s="38">
        <f ca="1">IF('SVS GrundRG'!H61="",0,'SVS GrundRG'!H61)</f>
        <v>0</v>
      </c>
      <c r="P90" s="38">
        <f t="shared" si="22"/>
        <v>0</v>
      </c>
      <c r="Q90" s="38">
        <f t="shared" si="23"/>
        <v>0</v>
      </c>
      <c r="R90" s="38">
        <f t="shared" si="24"/>
        <v>0</v>
      </c>
      <c r="S90" s="16" t="str">
        <f t="shared" si="25"/>
        <v>Leistungswert eintragen</v>
      </c>
      <c r="U90" s="16">
        <f t="shared" si="26"/>
        <v>24</v>
      </c>
      <c r="V90" s="16">
        <f t="shared" si="27"/>
        <v>7.1999999999999993</v>
      </c>
      <c r="W90" s="16">
        <f t="shared" si="28"/>
        <v>31.2</v>
      </c>
      <c r="X90" s="16" t="str">
        <f t="shared" si="29"/>
        <v/>
      </c>
    </row>
    <row r="91" spans="1:24" ht="15" customHeight="1" x14ac:dyDescent="0.2">
      <c r="A91" s="78">
        <v>70</v>
      </c>
      <c r="B91" s="88">
        <v>103</v>
      </c>
      <c r="C91" s="89" t="s">
        <v>276</v>
      </c>
      <c r="D91" s="89"/>
      <c r="E91" s="89" t="s">
        <v>278</v>
      </c>
      <c r="F91" s="89" t="s">
        <v>227</v>
      </c>
      <c r="G91" s="90">
        <v>7.48</v>
      </c>
      <c r="H91" s="90"/>
      <c r="I91" s="90"/>
      <c r="J91" s="78" t="s">
        <v>315</v>
      </c>
      <c r="K91" s="78" t="s">
        <v>160</v>
      </c>
      <c r="L91" s="38">
        <f>VLOOKUP(K91,Reinigungstage!A10:D31,4,FALSE)</f>
        <v>1</v>
      </c>
      <c r="M91" s="38">
        <f t="shared" si="20"/>
        <v>7.48</v>
      </c>
      <c r="N91" s="92">
        <f t="shared" si="21"/>
        <v>0</v>
      </c>
      <c r="O91" s="38">
        <f ca="1">IF('SVS GrundRG'!H61="",0,'SVS GrundRG'!H61)</f>
        <v>0</v>
      </c>
      <c r="P91" s="38">
        <f t="shared" si="22"/>
        <v>0</v>
      </c>
      <c r="Q91" s="38">
        <f t="shared" si="23"/>
        <v>0</v>
      </c>
      <c r="R91" s="38">
        <f t="shared" si="24"/>
        <v>0</v>
      </c>
      <c r="S91" s="16" t="str">
        <f t="shared" si="25"/>
        <v>Leistungswert eintragen</v>
      </c>
      <c r="U91" s="16">
        <f t="shared" si="26"/>
        <v>16.5</v>
      </c>
      <c r="V91" s="16">
        <f t="shared" si="27"/>
        <v>4.95</v>
      </c>
      <c r="W91" s="16">
        <f t="shared" si="28"/>
        <v>21.45</v>
      </c>
      <c r="X91" s="16" t="str">
        <f t="shared" si="29"/>
        <v/>
      </c>
    </row>
    <row r="92" spans="1:24" ht="15" customHeight="1" x14ac:dyDescent="0.2">
      <c r="A92" s="78">
        <v>71</v>
      </c>
      <c r="B92" s="88">
        <v>104</v>
      </c>
      <c r="C92" s="89" t="s">
        <v>276</v>
      </c>
      <c r="D92" s="89"/>
      <c r="E92" s="89" t="s">
        <v>236</v>
      </c>
      <c r="F92" s="89" t="s">
        <v>227</v>
      </c>
      <c r="G92" s="90">
        <v>6.15</v>
      </c>
      <c r="H92" s="90"/>
      <c r="I92" s="90"/>
      <c r="J92" s="78" t="s">
        <v>312</v>
      </c>
      <c r="K92" s="78" t="s">
        <v>160</v>
      </c>
      <c r="L92" s="38">
        <f>VLOOKUP(K92,Reinigungstage!A10:D31,4,FALSE)</f>
        <v>1</v>
      </c>
      <c r="M92" s="38">
        <f t="shared" si="20"/>
        <v>6.15</v>
      </c>
      <c r="N92" s="92">
        <f t="shared" si="21"/>
        <v>0</v>
      </c>
      <c r="O92" s="38">
        <f ca="1">IF('SVS GrundRG'!H61="",0,'SVS GrundRG'!H61)</f>
        <v>0</v>
      </c>
      <c r="P92" s="38">
        <f t="shared" si="22"/>
        <v>0</v>
      </c>
      <c r="Q92" s="38">
        <f t="shared" si="23"/>
        <v>0</v>
      </c>
      <c r="R92" s="38">
        <f t="shared" si="24"/>
        <v>0</v>
      </c>
      <c r="S92" s="16" t="str">
        <f t="shared" si="25"/>
        <v>Leistungswert eintragen</v>
      </c>
      <c r="U92" s="16">
        <f t="shared" si="26"/>
        <v>7</v>
      </c>
      <c r="V92" s="16">
        <f t="shared" si="27"/>
        <v>2.1</v>
      </c>
      <c r="W92" s="16">
        <f t="shared" si="28"/>
        <v>9.1</v>
      </c>
      <c r="X92" s="16" t="str">
        <f t="shared" si="29"/>
        <v/>
      </c>
    </row>
    <row r="93" spans="1:24" ht="15" customHeight="1" x14ac:dyDescent="0.2">
      <c r="A93" s="78">
        <v>72</v>
      </c>
      <c r="B93" s="88">
        <v>105</v>
      </c>
      <c r="C93" s="89" t="s">
        <v>276</v>
      </c>
      <c r="D93" s="89"/>
      <c r="E93" s="89" t="s">
        <v>279</v>
      </c>
      <c r="F93" s="89" t="s">
        <v>227</v>
      </c>
      <c r="G93" s="90">
        <v>10.220000000000001</v>
      </c>
      <c r="H93" s="90"/>
      <c r="I93" s="90"/>
      <c r="J93" s="78" t="s">
        <v>312</v>
      </c>
      <c r="K93" s="78" t="s">
        <v>160</v>
      </c>
      <c r="L93" s="38">
        <f>VLOOKUP(K93,Reinigungstage!A10:D31,4,FALSE)</f>
        <v>1</v>
      </c>
      <c r="M93" s="38">
        <f t="shared" si="20"/>
        <v>10.220000000000001</v>
      </c>
      <c r="N93" s="92">
        <f t="shared" si="21"/>
        <v>0</v>
      </c>
      <c r="O93" s="38">
        <f ca="1">IF('SVS GrundRG'!H61="",0,'SVS GrundRG'!H61)</f>
        <v>0</v>
      </c>
      <c r="P93" s="38">
        <f t="shared" si="22"/>
        <v>0</v>
      </c>
      <c r="Q93" s="38">
        <f t="shared" si="23"/>
        <v>0</v>
      </c>
      <c r="R93" s="38">
        <f t="shared" si="24"/>
        <v>0</v>
      </c>
      <c r="S93" s="16" t="str">
        <f t="shared" si="25"/>
        <v>Leistungswert eintragen</v>
      </c>
      <c r="U93" s="16">
        <f t="shared" si="26"/>
        <v>7</v>
      </c>
      <c r="V93" s="16">
        <f t="shared" si="27"/>
        <v>2.1</v>
      </c>
      <c r="W93" s="16">
        <f t="shared" si="28"/>
        <v>9.1</v>
      </c>
      <c r="X93" s="16" t="str">
        <f t="shared" si="29"/>
        <v/>
      </c>
    </row>
    <row r="94" spans="1:24" ht="15" customHeight="1" x14ac:dyDescent="0.2">
      <c r="A94" s="78">
        <v>73</v>
      </c>
      <c r="B94" s="88">
        <v>106</v>
      </c>
      <c r="C94" s="89" t="s">
        <v>276</v>
      </c>
      <c r="D94" s="89"/>
      <c r="E94" s="89" t="s">
        <v>280</v>
      </c>
      <c r="F94" s="89" t="s">
        <v>227</v>
      </c>
      <c r="G94" s="90">
        <v>11.3</v>
      </c>
      <c r="H94" s="90"/>
      <c r="I94" s="90"/>
      <c r="J94" s="78" t="s">
        <v>312</v>
      </c>
      <c r="K94" s="78" t="s">
        <v>160</v>
      </c>
      <c r="L94" s="38">
        <f>VLOOKUP(K94,Reinigungstage!A10:D31,4,FALSE)</f>
        <v>1</v>
      </c>
      <c r="M94" s="38">
        <f t="shared" si="20"/>
        <v>11.3</v>
      </c>
      <c r="N94" s="92">
        <f t="shared" si="21"/>
        <v>0</v>
      </c>
      <c r="O94" s="38">
        <f ca="1">IF('SVS GrundRG'!H61="",0,'SVS GrundRG'!H61)</f>
        <v>0</v>
      </c>
      <c r="P94" s="38">
        <f t="shared" si="22"/>
        <v>0</v>
      </c>
      <c r="Q94" s="38">
        <f t="shared" si="23"/>
        <v>0</v>
      </c>
      <c r="R94" s="38">
        <f t="shared" si="24"/>
        <v>0</v>
      </c>
      <c r="S94" s="16" t="str">
        <f t="shared" si="25"/>
        <v>Leistungswert eintragen</v>
      </c>
      <c r="U94" s="16">
        <f t="shared" si="26"/>
        <v>7</v>
      </c>
      <c r="V94" s="16">
        <f t="shared" si="27"/>
        <v>2.1</v>
      </c>
      <c r="W94" s="16">
        <f t="shared" si="28"/>
        <v>9.1</v>
      </c>
      <c r="X94" s="16" t="str">
        <f t="shared" si="29"/>
        <v/>
      </c>
    </row>
    <row r="95" spans="1:24" ht="15" customHeight="1" x14ac:dyDescent="0.2">
      <c r="A95" s="78">
        <v>74</v>
      </c>
      <c r="B95" s="88">
        <v>111</v>
      </c>
      <c r="C95" s="89" t="s">
        <v>276</v>
      </c>
      <c r="D95" s="89"/>
      <c r="E95" s="89" t="s">
        <v>233</v>
      </c>
      <c r="F95" s="89" t="s">
        <v>229</v>
      </c>
      <c r="G95" s="90">
        <v>67.319999999999993</v>
      </c>
      <c r="H95" s="90"/>
      <c r="I95" s="90"/>
      <c r="J95" s="78" t="s">
        <v>308</v>
      </c>
      <c r="K95" s="78" t="s">
        <v>160</v>
      </c>
      <c r="L95" s="38">
        <f>VLOOKUP(K95,Reinigungstage!A10:D31,4,FALSE)</f>
        <v>1</v>
      </c>
      <c r="M95" s="38">
        <f t="shared" si="20"/>
        <v>67.319999999999993</v>
      </c>
      <c r="N95" s="92">
        <f t="shared" si="21"/>
        <v>0</v>
      </c>
      <c r="O95" s="38">
        <f ca="1">IF('SVS GrundRG'!H61="",0,'SVS GrundRG'!H61)</f>
        <v>0</v>
      </c>
      <c r="P95" s="38">
        <f t="shared" si="22"/>
        <v>0</v>
      </c>
      <c r="Q95" s="38">
        <f t="shared" si="23"/>
        <v>0</v>
      </c>
      <c r="R95" s="38">
        <f t="shared" si="24"/>
        <v>0</v>
      </c>
      <c r="S95" s="16" t="str">
        <f t="shared" si="25"/>
        <v>Leistungswert eintragen</v>
      </c>
      <c r="U95" s="16">
        <f t="shared" si="26"/>
        <v>14</v>
      </c>
      <c r="V95" s="16">
        <f t="shared" si="27"/>
        <v>4.2</v>
      </c>
      <c r="W95" s="16">
        <f t="shared" si="28"/>
        <v>18.2</v>
      </c>
      <c r="X95" s="16" t="str">
        <f t="shared" si="29"/>
        <v/>
      </c>
    </row>
    <row r="96" spans="1:24" ht="15" customHeight="1" x14ac:dyDescent="0.2">
      <c r="A96" s="78">
        <v>75</v>
      </c>
      <c r="B96" s="88">
        <v>112</v>
      </c>
      <c r="C96" s="89" t="s">
        <v>276</v>
      </c>
      <c r="D96" s="89"/>
      <c r="E96" s="89" t="s">
        <v>234</v>
      </c>
      <c r="F96" s="89" t="s">
        <v>229</v>
      </c>
      <c r="G96" s="90">
        <v>16.29</v>
      </c>
      <c r="H96" s="90"/>
      <c r="I96" s="90"/>
      <c r="J96" s="78" t="s">
        <v>309</v>
      </c>
      <c r="K96" s="78" t="s">
        <v>160</v>
      </c>
      <c r="L96" s="38">
        <f>VLOOKUP(K96,Reinigungstage!A10:D31,4,FALSE)</f>
        <v>1</v>
      </c>
      <c r="M96" s="38">
        <f t="shared" si="20"/>
        <v>16.29</v>
      </c>
      <c r="N96" s="92">
        <f t="shared" si="21"/>
        <v>0</v>
      </c>
      <c r="O96" s="38">
        <f ca="1">IF('SVS GrundRG'!H61="",0,'SVS GrundRG'!H61)</f>
        <v>0</v>
      </c>
      <c r="P96" s="38">
        <f t="shared" si="22"/>
        <v>0</v>
      </c>
      <c r="Q96" s="38">
        <f t="shared" si="23"/>
        <v>0</v>
      </c>
      <c r="R96" s="38">
        <f t="shared" si="24"/>
        <v>0</v>
      </c>
      <c r="S96" s="16" t="str">
        <f t="shared" si="25"/>
        <v>Leistungswert eintragen</v>
      </c>
      <c r="U96" s="16">
        <f t="shared" si="26"/>
        <v>15</v>
      </c>
      <c r="V96" s="16">
        <f t="shared" si="27"/>
        <v>4.5</v>
      </c>
      <c r="W96" s="16">
        <f t="shared" si="28"/>
        <v>19.5</v>
      </c>
      <c r="X96" s="16" t="str">
        <f t="shared" si="29"/>
        <v/>
      </c>
    </row>
    <row r="97" spans="1:24" ht="15" customHeight="1" x14ac:dyDescent="0.2">
      <c r="A97" s="78">
        <v>76</v>
      </c>
      <c r="B97" s="88">
        <v>113</v>
      </c>
      <c r="C97" s="89" t="s">
        <v>276</v>
      </c>
      <c r="D97" s="89"/>
      <c r="E97" s="89" t="s">
        <v>233</v>
      </c>
      <c r="F97" s="89" t="s">
        <v>229</v>
      </c>
      <c r="G97" s="90">
        <v>59.38</v>
      </c>
      <c r="H97" s="90"/>
      <c r="I97" s="90"/>
      <c r="J97" s="78" t="s">
        <v>308</v>
      </c>
      <c r="K97" s="78" t="s">
        <v>160</v>
      </c>
      <c r="L97" s="38">
        <f>VLOOKUP(K97,Reinigungstage!A10:D31,4,FALSE)</f>
        <v>1</v>
      </c>
      <c r="M97" s="38">
        <f t="shared" si="20"/>
        <v>59.38</v>
      </c>
      <c r="N97" s="92">
        <f t="shared" si="21"/>
        <v>0</v>
      </c>
      <c r="O97" s="38">
        <f ca="1">IF('SVS GrundRG'!H61="",0,'SVS GrundRG'!H61)</f>
        <v>0</v>
      </c>
      <c r="P97" s="38">
        <f t="shared" si="22"/>
        <v>0</v>
      </c>
      <c r="Q97" s="38">
        <f t="shared" si="23"/>
        <v>0</v>
      </c>
      <c r="R97" s="38">
        <f t="shared" si="24"/>
        <v>0</v>
      </c>
      <c r="S97" s="16" t="str">
        <f t="shared" si="25"/>
        <v>Leistungswert eintragen</v>
      </c>
      <c r="U97" s="16">
        <f t="shared" si="26"/>
        <v>14</v>
      </c>
      <c r="V97" s="16">
        <f t="shared" si="27"/>
        <v>4.2</v>
      </c>
      <c r="W97" s="16">
        <f t="shared" si="28"/>
        <v>18.2</v>
      </c>
      <c r="X97" s="16" t="str">
        <f t="shared" si="29"/>
        <v/>
      </c>
    </row>
    <row r="98" spans="1:24" ht="15" customHeight="1" x14ac:dyDescent="0.2">
      <c r="A98" s="78">
        <v>77</v>
      </c>
      <c r="B98" s="88">
        <v>114</v>
      </c>
      <c r="C98" s="89" t="s">
        <v>276</v>
      </c>
      <c r="D98" s="89"/>
      <c r="E98" s="89" t="s">
        <v>233</v>
      </c>
      <c r="F98" s="89" t="s">
        <v>229</v>
      </c>
      <c r="G98" s="90">
        <v>59.38</v>
      </c>
      <c r="H98" s="90"/>
      <c r="I98" s="90"/>
      <c r="J98" s="78" t="s">
        <v>308</v>
      </c>
      <c r="K98" s="78" t="s">
        <v>160</v>
      </c>
      <c r="L98" s="38">
        <f>VLOOKUP(K98,Reinigungstage!A10:D31,4,FALSE)</f>
        <v>1</v>
      </c>
      <c r="M98" s="38">
        <f t="shared" si="20"/>
        <v>59.38</v>
      </c>
      <c r="N98" s="92">
        <f t="shared" si="21"/>
        <v>0</v>
      </c>
      <c r="O98" s="38">
        <f ca="1">IF('SVS GrundRG'!H61="",0,'SVS GrundRG'!H61)</f>
        <v>0</v>
      </c>
      <c r="P98" s="38">
        <f t="shared" si="22"/>
        <v>0</v>
      </c>
      <c r="Q98" s="38">
        <f t="shared" si="23"/>
        <v>0</v>
      </c>
      <c r="R98" s="38">
        <f t="shared" si="24"/>
        <v>0</v>
      </c>
      <c r="S98" s="16" t="str">
        <f t="shared" si="25"/>
        <v>Leistungswert eintragen</v>
      </c>
      <c r="U98" s="16">
        <f t="shared" si="26"/>
        <v>14</v>
      </c>
      <c r="V98" s="16">
        <f t="shared" si="27"/>
        <v>4.2</v>
      </c>
      <c r="W98" s="16">
        <f t="shared" si="28"/>
        <v>18.2</v>
      </c>
      <c r="X98" s="16" t="str">
        <f t="shared" si="29"/>
        <v/>
      </c>
    </row>
    <row r="99" spans="1:24" ht="15" customHeight="1" x14ac:dyDescent="0.2">
      <c r="A99" s="78">
        <v>78</v>
      </c>
      <c r="B99" s="88">
        <v>115</v>
      </c>
      <c r="C99" s="89" t="s">
        <v>276</v>
      </c>
      <c r="D99" s="89"/>
      <c r="E99" s="89" t="s">
        <v>234</v>
      </c>
      <c r="F99" s="89" t="s">
        <v>229</v>
      </c>
      <c r="G99" s="90">
        <v>15.67</v>
      </c>
      <c r="H99" s="90"/>
      <c r="I99" s="90"/>
      <c r="J99" s="78" t="s">
        <v>309</v>
      </c>
      <c r="K99" s="78" t="s">
        <v>160</v>
      </c>
      <c r="L99" s="38">
        <f>VLOOKUP(K99,Reinigungstage!A10:D31,4,FALSE)</f>
        <v>1</v>
      </c>
      <c r="M99" s="38">
        <f t="shared" si="20"/>
        <v>15.67</v>
      </c>
      <c r="N99" s="92">
        <f t="shared" si="21"/>
        <v>0</v>
      </c>
      <c r="O99" s="38">
        <f ca="1">IF('SVS GrundRG'!H61="",0,'SVS GrundRG'!H61)</f>
        <v>0</v>
      </c>
      <c r="P99" s="38">
        <f t="shared" si="22"/>
        <v>0</v>
      </c>
      <c r="Q99" s="38">
        <f t="shared" si="23"/>
        <v>0</v>
      </c>
      <c r="R99" s="38">
        <f t="shared" si="24"/>
        <v>0</v>
      </c>
      <c r="S99" s="16" t="str">
        <f t="shared" si="25"/>
        <v>Leistungswert eintragen</v>
      </c>
      <c r="U99" s="16">
        <f t="shared" si="26"/>
        <v>15</v>
      </c>
      <c r="V99" s="16">
        <f t="shared" si="27"/>
        <v>4.5</v>
      </c>
      <c r="W99" s="16">
        <f t="shared" si="28"/>
        <v>19.5</v>
      </c>
      <c r="X99" s="16" t="str">
        <f t="shared" si="29"/>
        <v/>
      </c>
    </row>
    <row r="100" spans="1:24" ht="15" customHeight="1" x14ac:dyDescent="0.2">
      <c r="A100" s="78">
        <v>79</v>
      </c>
      <c r="B100" s="88">
        <v>116</v>
      </c>
      <c r="C100" s="89" t="s">
        <v>276</v>
      </c>
      <c r="D100" s="89"/>
      <c r="E100" s="89" t="s">
        <v>233</v>
      </c>
      <c r="F100" s="89" t="s">
        <v>229</v>
      </c>
      <c r="G100" s="90">
        <v>59.38</v>
      </c>
      <c r="H100" s="90"/>
      <c r="I100" s="90"/>
      <c r="J100" s="78" t="s">
        <v>308</v>
      </c>
      <c r="K100" s="78" t="s">
        <v>160</v>
      </c>
      <c r="L100" s="38">
        <f>VLOOKUP(K100,Reinigungstage!A10:D31,4,FALSE)</f>
        <v>1</v>
      </c>
      <c r="M100" s="38">
        <f t="shared" si="20"/>
        <v>59.38</v>
      </c>
      <c r="N100" s="92">
        <f t="shared" si="21"/>
        <v>0</v>
      </c>
      <c r="O100" s="38">
        <f ca="1">IF('SVS GrundRG'!H61="",0,'SVS GrundRG'!H61)</f>
        <v>0</v>
      </c>
      <c r="P100" s="38">
        <f t="shared" si="22"/>
        <v>0</v>
      </c>
      <c r="Q100" s="38">
        <f t="shared" si="23"/>
        <v>0</v>
      </c>
      <c r="R100" s="38">
        <f t="shared" si="24"/>
        <v>0</v>
      </c>
      <c r="S100" s="16" t="str">
        <f t="shared" si="25"/>
        <v>Leistungswert eintragen</v>
      </c>
      <c r="U100" s="16">
        <f t="shared" si="26"/>
        <v>14</v>
      </c>
      <c r="V100" s="16">
        <f t="shared" si="27"/>
        <v>4.2</v>
      </c>
      <c r="W100" s="16">
        <f t="shared" si="28"/>
        <v>18.2</v>
      </c>
      <c r="X100" s="16" t="str">
        <f t="shared" si="29"/>
        <v/>
      </c>
    </row>
    <row r="101" spans="1:24" ht="15" customHeight="1" x14ac:dyDescent="0.2">
      <c r="A101" s="78">
        <v>80</v>
      </c>
      <c r="B101" s="88">
        <v>117</v>
      </c>
      <c r="C101" s="89" t="s">
        <v>276</v>
      </c>
      <c r="D101" s="89"/>
      <c r="E101" s="89" t="s">
        <v>233</v>
      </c>
      <c r="F101" s="89" t="s">
        <v>229</v>
      </c>
      <c r="G101" s="90">
        <v>59.38</v>
      </c>
      <c r="H101" s="90"/>
      <c r="I101" s="90"/>
      <c r="J101" s="78" t="s">
        <v>308</v>
      </c>
      <c r="K101" s="78" t="s">
        <v>160</v>
      </c>
      <c r="L101" s="38">
        <f>VLOOKUP(K101,Reinigungstage!A10:D31,4,FALSE)</f>
        <v>1</v>
      </c>
      <c r="M101" s="38">
        <f t="shared" si="20"/>
        <v>59.38</v>
      </c>
      <c r="N101" s="92">
        <f t="shared" si="21"/>
        <v>0</v>
      </c>
      <c r="O101" s="38">
        <f ca="1">IF('SVS GrundRG'!H61="",0,'SVS GrundRG'!H61)</f>
        <v>0</v>
      </c>
      <c r="P101" s="38">
        <f t="shared" si="22"/>
        <v>0</v>
      </c>
      <c r="Q101" s="38">
        <f t="shared" si="23"/>
        <v>0</v>
      </c>
      <c r="R101" s="38">
        <f t="shared" si="24"/>
        <v>0</v>
      </c>
      <c r="S101" s="16" t="str">
        <f t="shared" si="25"/>
        <v>Leistungswert eintragen</v>
      </c>
      <c r="U101" s="16">
        <f t="shared" si="26"/>
        <v>14</v>
      </c>
      <c r="V101" s="16">
        <f t="shared" si="27"/>
        <v>4.2</v>
      </c>
      <c r="W101" s="16">
        <f t="shared" si="28"/>
        <v>18.2</v>
      </c>
      <c r="X101" s="16" t="str">
        <f t="shared" si="29"/>
        <v/>
      </c>
    </row>
    <row r="102" spans="1:24" ht="15" customHeight="1" x14ac:dyDescent="0.2">
      <c r="A102" s="78">
        <v>81</v>
      </c>
      <c r="B102" s="88">
        <v>118</v>
      </c>
      <c r="C102" s="89" t="s">
        <v>276</v>
      </c>
      <c r="D102" s="89"/>
      <c r="E102" s="89" t="s">
        <v>234</v>
      </c>
      <c r="F102" s="89" t="s">
        <v>229</v>
      </c>
      <c r="G102" s="90">
        <v>16.29</v>
      </c>
      <c r="H102" s="90"/>
      <c r="I102" s="90"/>
      <c r="J102" s="78" t="s">
        <v>309</v>
      </c>
      <c r="K102" s="78" t="s">
        <v>160</v>
      </c>
      <c r="L102" s="38">
        <f>VLOOKUP(K102,Reinigungstage!A10:D31,4,FALSE)</f>
        <v>1</v>
      </c>
      <c r="M102" s="38">
        <f t="shared" ref="M102:M126" si="30">ROUND(IF(L102=0,0,L102*G102),2)</f>
        <v>16.29</v>
      </c>
      <c r="N102" s="92">
        <f t="shared" ref="N102:N126" si="31">VLOOKUP(J102,$G$4:$H$14,2,FALSE)</f>
        <v>0</v>
      </c>
      <c r="O102" s="38">
        <f ca="1">IF('SVS GrundRG'!H61="",0,'SVS GrundRG'!H61)</f>
        <v>0</v>
      </c>
      <c r="P102" s="38">
        <f t="shared" ref="P102:P126" si="32">ROUND(IF(N102=0,0,M102/N102),2)</f>
        <v>0</v>
      </c>
      <c r="Q102" s="38">
        <f t="shared" ref="Q102:Q126" si="33">ROUND(IF(P102=0,0,P102*O102),2)</f>
        <v>0</v>
      </c>
      <c r="R102" s="38">
        <f t="shared" ref="R102:R126" si="34">ROUND(IF(P102=0,0,Q102/L102),2)</f>
        <v>0</v>
      </c>
      <c r="S102" s="16" t="str">
        <f t="shared" ref="S102:S126" si="35">IF(M102=0,"",IF(N102=0,"Leistungswert eintragen",IF(O102=0,"SVS prüfen","")))</f>
        <v>Leistungswert eintragen</v>
      </c>
      <c r="U102" s="16">
        <f t="shared" ref="U102:U126" si="36">VLOOKUP(J102,$U$4:$V$14,2,FALSE)</f>
        <v>15</v>
      </c>
      <c r="V102" s="16">
        <f t="shared" ref="V102:V126" si="37">U102*30%</f>
        <v>4.5</v>
      </c>
      <c r="W102" s="16">
        <f t="shared" ref="W102:W126" si="38">SUM(U102:V102)</f>
        <v>19.5</v>
      </c>
      <c r="X102" s="16" t="str">
        <f t="shared" ref="X102:X126" si="39">IF(N102=0,"",IF(W102&lt;N102,1,IF(W102&gt;=N102,0,"")))</f>
        <v/>
      </c>
    </row>
    <row r="103" spans="1:24" ht="15" customHeight="1" x14ac:dyDescent="0.2">
      <c r="A103" s="78">
        <v>82</v>
      </c>
      <c r="B103" s="88">
        <v>119</v>
      </c>
      <c r="C103" s="89" t="s">
        <v>276</v>
      </c>
      <c r="D103" s="89"/>
      <c r="E103" s="89" t="s">
        <v>233</v>
      </c>
      <c r="F103" s="89" t="s">
        <v>229</v>
      </c>
      <c r="G103" s="90">
        <v>67.33</v>
      </c>
      <c r="H103" s="90"/>
      <c r="I103" s="90"/>
      <c r="J103" s="78" t="s">
        <v>308</v>
      </c>
      <c r="K103" s="78" t="s">
        <v>160</v>
      </c>
      <c r="L103" s="38">
        <f>VLOOKUP(K103,Reinigungstage!A10:D31,4,FALSE)</f>
        <v>1</v>
      </c>
      <c r="M103" s="38">
        <f t="shared" si="30"/>
        <v>67.33</v>
      </c>
      <c r="N103" s="92">
        <f t="shared" si="31"/>
        <v>0</v>
      </c>
      <c r="O103" s="38">
        <f ca="1">IF('SVS GrundRG'!H61="",0,'SVS GrundRG'!H61)</f>
        <v>0</v>
      </c>
      <c r="P103" s="38">
        <f t="shared" si="32"/>
        <v>0</v>
      </c>
      <c r="Q103" s="38">
        <f t="shared" si="33"/>
        <v>0</v>
      </c>
      <c r="R103" s="38">
        <f t="shared" si="34"/>
        <v>0</v>
      </c>
      <c r="S103" s="16" t="str">
        <f t="shared" si="35"/>
        <v>Leistungswert eintragen</v>
      </c>
      <c r="U103" s="16">
        <f t="shared" si="36"/>
        <v>14</v>
      </c>
      <c r="V103" s="16">
        <f t="shared" si="37"/>
        <v>4.2</v>
      </c>
      <c r="W103" s="16">
        <f t="shared" si="38"/>
        <v>18.2</v>
      </c>
      <c r="X103" s="16" t="str">
        <f t="shared" si="39"/>
        <v/>
      </c>
    </row>
    <row r="104" spans="1:24" ht="15" customHeight="1" x14ac:dyDescent="0.2">
      <c r="A104" s="78">
        <v>83</v>
      </c>
      <c r="B104" s="88">
        <v>122</v>
      </c>
      <c r="C104" s="89" t="s">
        <v>276</v>
      </c>
      <c r="D104" s="89"/>
      <c r="E104" s="89" t="s">
        <v>235</v>
      </c>
      <c r="F104" s="89" t="s">
        <v>227</v>
      </c>
      <c r="G104" s="90">
        <v>15.16</v>
      </c>
      <c r="H104" s="90"/>
      <c r="I104" s="90"/>
      <c r="J104" s="78" t="s">
        <v>312</v>
      </c>
      <c r="K104" s="78" t="s">
        <v>160</v>
      </c>
      <c r="L104" s="38">
        <f>VLOOKUP(K104,Reinigungstage!A10:D31,4,FALSE)</f>
        <v>1</v>
      </c>
      <c r="M104" s="38">
        <f t="shared" si="30"/>
        <v>15.16</v>
      </c>
      <c r="N104" s="92">
        <f t="shared" si="31"/>
        <v>0</v>
      </c>
      <c r="O104" s="38">
        <f ca="1">IF('SVS GrundRG'!H61="",0,'SVS GrundRG'!H61)</f>
        <v>0</v>
      </c>
      <c r="P104" s="38">
        <f t="shared" si="32"/>
        <v>0</v>
      </c>
      <c r="Q104" s="38">
        <f t="shared" si="33"/>
        <v>0</v>
      </c>
      <c r="R104" s="38">
        <f t="shared" si="34"/>
        <v>0</v>
      </c>
      <c r="S104" s="16" t="str">
        <f t="shared" si="35"/>
        <v>Leistungswert eintragen</v>
      </c>
      <c r="U104" s="16">
        <f t="shared" si="36"/>
        <v>7</v>
      </c>
      <c r="V104" s="16">
        <f t="shared" si="37"/>
        <v>2.1</v>
      </c>
      <c r="W104" s="16">
        <f t="shared" si="38"/>
        <v>9.1</v>
      </c>
      <c r="X104" s="16" t="str">
        <f t="shared" si="39"/>
        <v/>
      </c>
    </row>
    <row r="105" spans="1:24" ht="15" customHeight="1" x14ac:dyDescent="0.2">
      <c r="A105" s="78">
        <v>84</v>
      </c>
      <c r="B105" s="88">
        <v>123</v>
      </c>
      <c r="C105" s="89" t="s">
        <v>276</v>
      </c>
      <c r="D105" s="89"/>
      <c r="E105" s="89" t="s">
        <v>237</v>
      </c>
      <c r="F105" s="89" t="s">
        <v>227</v>
      </c>
      <c r="G105" s="90">
        <v>14.81</v>
      </c>
      <c r="H105" s="90"/>
      <c r="I105" s="90"/>
      <c r="J105" s="78" t="s">
        <v>312</v>
      </c>
      <c r="K105" s="78" t="s">
        <v>160</v>
      </c>
      <c r="L105" s="38">
        <f>VLOOKUP(K105,Reinigungstage!A10:D31,4,FALSE)</f>
        <v>1</v>
      </c>
      <c r="M105" s="38">
        <f t="shared" si="30"/>
        <v>14.81</v>
      </c>
      <c r="N105" s="92">
        <f t="shared" si="31"/>
        <v>0</v>
      </c>
      <c r="O105" s="38">
        <f ca="1">IF('SVS GrundRG'!H61="",0,'SVS GrundRG'!H61)</f>
        <v>0</v>
      </c>
      <c r="P105" s="38">
        <f t="shared" si="32"/>
        <v>0</v>
      </c>
      <c r="Q105" s="38">
        <f t="shared" si="33"/>
        <v>0</v>
      </c>
      <c r="R105" s="38">
        <f t="shared" si="34"/>
        <v>0</v>
      </c>
      <c r="S105" s="16" t="str">
        <f t="shared" si="35"/>
        <v>Leistungswert eintragen</v>
      </c>
      <c r="U105" s="16">
        <f t="shared" si="36"/>
        <v>7</v>
      </c>
      <c r="V105" s="16">
        <f t="shared" si="37"/>
        <v>2.1</v>
      </c>
      <c r="W105" s="16">
        <f t="shared" si="38"/>
        <v>9.1</v>
      </c>
      <c r="X105" s="16" t="str">
        <f t="shared" si="39"/>
        <v/>
      </c>
    </row>
    <row r="106" spans="1:24" ht="15" customHeight="1" x14ac:dyDescent="0.2">
      <c r="A106" s="78">
        <v>85</v>
      </c>
      <c r="B106" s="88">
        <v>125</v>
      </c>
      <c r="C106" s="89" t="s">
        <v>276</v>
      </c>
      <c r="D106" s="89"/>
      <c r="E106" s="89" t="s">
        <v>283</v>
      </c>
      <c r="F106" s="89" t="s">
        <v>229</v>
      </c>
      <c r="G106" s="90">
        <v>11.5</v>
      </c>
      <c r="H106" s="90"/>
      <c r="I106" s="90"/>
      <c r="J106" s="78" t="s">
        <v>314</v>
      </c>
      <c r="K106" s="78" t="s">
        <v>160</v>
      </c>
      <c r="L106" s="38">
        <f>VLOOKUP(K106,Reinigungstage!A10:D31,4,FALSE)</f>
        <v>1</v>
      </c>
      <c r="M106" s="38">
        <f t="shared" si="30"/>
        <v>11.5</v>
      </c>
      <c r="N106" s="92">
        <f t="shared" si="31"/>
        <v>0</v>
      </c>
      <c r="O106" s="38">
        <f ca="1">IF('SVS GrundRG'!H61="",0,'SVS GrundRG'!H61)</f>
        <v>0</v>
      </c>
      <c r="P106" s="38">
        <f t="shared" si="32"/>
        <v>0</v>
      </c>
      <c r="Q106" s="38">
        <f t="shared" si="33"/>
        <v>0</v>
      </c>
      <c r="R106" s="38">
        <f t="shared" si="34"/>
        <v>0</v>
      </c>
      <c r="S106" s="16" t="str">
        <f t="shared" si="35"/>
        <v>Leistungswert eintragen</v>
      </c>
      <c r="U106" s="16">
        <f t="shared" si="36"/>
        <v>13</v>
      </c>
      <c r="V106" s="16">
        <f t="shared" si="37"/>
        <v>3.9</v>
      </c>
      <c r="W106" s="16">
        <f t="shared" si="38"/>
        <v>16.899999999999999</v>
      </c>
      <c r="X106" s="16" t="str">
        <f t="shared" si="39"/>
        <v/>
      </c>
    </row>
    <row r="107" spans="1:24" ht="15" customHeight="1" x14ac:dyDescent="0.2">
      <c r="A107" s="78">
        <v>86</v>
      </c>
      <c r="B107" s="88">
        <v>126</v>
      </c>
      <c r="C107" s="89" t="s">
        <v>276</v>
      </c>
      <c r="D107" s="89"/>
      <c r="E107" s="89" t="s">
        <v>284</v>
      </c>
      <c r="F107" s="89" t="s">
        <v>285</v>
      </c>
      <c r="G107" s="90">
        <v>48.74</v>
      </c>
      <c r="H107" s="90"/>
      <c r="I107" s="90"/>
      <c r="J107" s="78" t="s">
        <v>309</v>
      </c>
      <c r="K107" s="78" t="s">
        <v>160</v>
      </c>
      <c r="L107" s="38">
        <f>VLOOKUP(K107,Reinigungstage!A10:D31,4,FALSE)</f>
        <v>1</v>
      </c>
      <c r="M107" s="38">
        <f t="shared" si="30"/>
        <v>48.74</v>
      </c>
      <c r="N107" s="92">
        <f t="shared" si="31"/>
        <v>0</v>
      </c>
      <c r="O107" s="38">
        <f ca="1">IF('SVS GrundRG'!H61="",0,'SVS GrundRG'!H61)</f>
        <v>0</v>
      </c>
      <c r="P107" s="38">
        <f t="shared" si="32"/>
        <v>0</v>
      </c>
      <c r="Q107" s="38">
        <f t="shared" si="33"/>
        <v>0</v>
      </c>
      <c r="R107" s="38">
        <f t="shared" si="34"/>
        <v>0</v>
      </c>
      <c r="S107" s="16" t="str">
        <f t="shared" si="35"/>
        <v>Leistungswert eintragen</v>
      </c>
      <c r="U107" s="16">
        <f t="shared" si="36"/>
        <v>15</v>
      </c>
      <c r="V107" s="16">
        <f t="shared" si="37"/>
        <v>4.5</v>
      </c>
      <c r="W107" s="16">
        <f t="shared" si="38"/>
        <v>19.5</v>
      </c>
      <c r="X107" s="16" t="str">
        <f t="shared" si="39"/>
        <v/>
      </c>
    </row>
    <row r="108" spans="1:24" ht="15" customHeight="1" x14ac:dyDescent="0.2">
      <c r="A108" s="78">
        <v>87</v>
      </c>
      <c r="B108" s="88">
        <v>131</v>
      </c>
      <c r="C108" s="89" t="s">
        <v>276</v>
      </c>
      <c r="D108" s="89"/>
      <c r="E108" s="89" t="s">
        <v>286</v>
      </c>
      <c r="F108" s="89" t="s">
        <v>227</v>
      </c>
      <c r="G108" s="90">
        <v>336.16</v>
      </c>
      <c r="H108" s="90"/>
      <c r="I108" s="90"/>
      <c r="J108" s="78" t="s">
        <v>315</v>
      </c>
      <c r="K108" s="78" t="s">
        <v>160</v>
      </c>
      <c r="L108" s="38">
        <f>VLOOKUP(K108,Reinigungstage!A10:D31,4,FALSE)</f>
        <v>1</v>
      </c>
      <c r="M108" s="38">
        <f t="shared" si="30"/>
        <v>336.16</v>
      </c>
      <c r="N108" s="92">
        <f t="shared" si="31"/>
        <v>0</v>
      </c>
      <c r="O108" s="38">
        <f ca="1">IF('SVS GrundRG'!H61="",0,'SVS GrundRG'!H61)</f>
        <v>0</v>
      </c>
      <c r="P108" s="38">
        <f t="shared" si="32"/>
        <v>0</v>
      </c>
      <c r="Q108" s="38">
        <f t="shared" si="33"/>
        <v>0</v>
      </c>
      <c r="R108" s="38">
        <f t="shared" si="34"/>
        <v>0</v>
      </c>
      <c r="S108" s="16" t="str">
        <f t="shared" si="35"/>
        <v>Leistungswert eintragen</v>
      </c>
      <c r="U108" s="16">
        <f t="shared" si="36"/>
        <v>16.5</v>
      </c>
      <c r="V108" s="16">
        <f t="shared" si="37"/>
        <v>4.95</v>
      </c>
      <c r="W108" s="16">
        <f t="shared" si="38"/>
        <v>21.45</v>
      </c>
      <c r="X108" s="16" t="str">
        <f t="shared" si="39"/>
        <v/>
      </c>
    </row>
    <row r="109" spans="1:24" ht="15" customHeight="1" x14ac:dyDescent="0.2">
      <c r="A109" s="78">
        <v>88</v>
      </c>
      <c r="B109" s="88">
        <v>132</v>
      </c>
      <c r="C109" s="89" t="s">
        <v>276</v>
      </c>
      <c r="D109" s="89"/>
      <c r="E109" s="89" t="s">
        <v>287</v>
      </c>
      <c r="F109" s="89" t="s">
        <v>288</v>
      </c>
      <c r="G109" s="90">
        <v>18.920000000000002</v>
      </c>
      <c r="H109" s="90"/>
      <c r="I109" s="90"/>
      <c r="J109" s="78" t="s">
        <v>315</v>
      </c>
      <c r="K109" s="78" t="s">
        <v>160</v>
      </c>
      <c r="L109" s="38">
        <f>VLOOKUP(K109,Reinigungstage!A10:D31,4,FALSE)</f>
        <v>1</v>
      </c>
      <c r="M109" s="38">
        <f t="shared" si="30"/>
        <v>18.920000000000002</v>
      </c>
      <c r="N109" s="92">
        <f t="shared" si="31"/>
        <v>0</v>
      </c>
      <c r="O109" s="38">
        <f ca="1">IF('SVS GrundRG'!H61="",0,'SVS GrundRG'!H61)</f>
        <v>0</v>
      </c>
      <c r="P109" s="38">
        <f t="shared" si="32"/>
        <v>0</v>
      </c>
      <c r="Q109" s="38">
        <f t="shared" si="33"/>
        <v>0</v>
      </c>
      <c r="R109" s="38">
        <f t="shared" si="34"/>
        <v>0</v>
      </c>
      <c r="S109" s="16" t="str">
        <f t="shared" si="35"/>
        <v>Leistungswert eintragen</v>
      </c>
      <c r="U109" s="16">
        <f t="shared" si="36"/>
        <v>16.5</v>
      </c>
      <c r="V109" s="16">
        <f t="shared" si="37"/>
        <v>4.95</v>
      </c>
      <c r="W109" s="16">
        <f t="shared" si="38"/>
        <v>21.45</v>
      </c>
      <c r="X109" s="16" t="str">
        <f t="shared" si="39"/>
        <v/>
      </c>
    </row>
    <row r="110" spans="1:24" ht="15" customHeight="1" x14ac:dyDescent="0.2">
      <c r="A110" s="78">
        <v>89</v>
      </c>
      <c r="B110" s="88">
        <v>133</v>
      </c>
      <c r="C110" s="89" t="s">
        <v>276</v>
      </c>
      <c r="D110" s="89"/>
      <c r="E110" s="89" t="s">
        <v>289</v>
      </c>
      <c r="F110" s="89" t="s">
        <v>288</v>
      </c>
      <c r="G110" s="90">
        <v>37.020000000000003</v>
      </c>
      <c r="H110" s="90"/>
      <c r="I110" s="90"/>
      <c r="J110" s="78" t="s">
        <v>315</v>
      </c>
      <c r="K110" s="78" t="s">
        <v>160</v>
      </c>
      <c r="L110" s="38">
        <f>VLOOKUP(K110,Reinigungstage!A10:D31,4,FALSE)</f>
        <v>1</v>
      </c>
      <c r="M110" s="38">
        <f t="shared" si="30"/>
        <v>37.020000000000003</v>
      </c>
      <c r="N110" s="92">
        <f t="shared" si="31"/>
        <v>0</v>
      </c>
      <c r="O110" s="38">
        <f ca="1">IF('SVS GrundRG'!H61="",0,'SVS GrundRG'!H61)</f>
        <v>0</v>
      </c>
      <c r="P110" s="38">
        <f t="shared" si="32"/>
        <v>0</v>
      </c>
      <c r="Q110" s="38">
        <f t="shared" si="33"/>
        <v>0</v>
      </c>
      <c r="R110" s="38">
        <f t="shared" si="34"/>
        <v>0</v>
      </c>
      <c r="S110" s="16" t="str">
        <f t="shared" si="35"/>
        <v>Leistungswert eintragen</v>
      </c>
      <c r="U110" s="16">
        <f t="shared" si="36"/>
        <v>16.5</v>
      </c>
      <c r="V110" s="16">
        <f t="shared" si="37"/>
        <v>4.95</v>
      </c>
      <c r="W110" s="16">
        <f t="shared" si="38"/>
        <v>21.45</v>
      </c>
      <c r="X110" s="16" t="str">
        <f t="shared" si="39"/>
        <v/>
      </c>
    </row>
    <row r="111" spans="1:24" ht="15" customHeight="1" x14ac:dyDescent="0.2">
      <c r="A111" s="78">
        <v>90</v>
      </c>
      <c r="B111" s="88">
        <v>134</v>
      </c>
      <c r="C111" s="89" t="s">
        <v>276</v>
      </c>
      <c r="D111" s="89"/>
      <c r="E111" s="89" t="s">
        <v>290</v>
      </c>
      <c r="F111" s="89" t="s">
        <v>288</v>
      </c>
      <c r="G111" s="90">
        <v>4.5999999999999996</v>
      </c>
      <c r="H111" s="90"/>
      <c r="I111" s="90"/>
      <c r="J111" s="78" t="s">
        <v>315</v>
      </c>
      <c r="K111" s="78" t="s">
        <v>160</v>
      </c>
      <c r="L111" s="38">
        <f>VLOOKUP(K111,Reinigungstage!A10:D31,4,FALSE)</f>
        <v>1</v>
      </c>
      <c r="M111" s="38">
        <f t="shared" si="30"/>
        <v>4.5999999999999996</v>
      </c>
      <c r="N111" s="92">
        <f t="shared" si="31"/>
        <v>0</v>
      </c>
      <c r="O111" s="38">
        <f ca="1">IF('SVS GrundRG'!H61="",0,'SVS GrundRG'!H61)</f>
        <v>0</v>
      </c>
      <c r="P111" s="38">
        <f t="shared" si="32"/>
        <v>0</v>
      </c>
      <c r="Q111" s="38">
        <f t="shared" si="33"/>
        <v>0</v>
      </c>
      <c r="R111" s="38">
        <f t="shared" si="34"/>
        <v>0</v>
      </c>
      <c r="S111" s="16" t="str">
        <f t="shared" si="35"/>
        <v>Leistungswert eintragen</v>
      </c>
      <c r="U111" s="16">
        <f t="shared" si="36"/>
        <v>16.5</v>
      </c>
      <c r="V111" s="16">
        <f t="shared" si="37"/>
        <v>4.95</v>
      </c>
      <c r="W111" s="16">
        <f t="shared" si="38"/>
        <v>21.45</v>
      </c>
      <c r="X111" s="16" t="str">
        <f t="shared" si="39"/>
        <v/>
      </c>
    </row>
    <row r="112" spans="1:24" ht="15" customHeight="1" x14ac:dyDescent="0.2">
      <c r="A112" s="78">
        <v>91</v>
      </c>
      <c r="B112" s="88">
        <v>135</v>
      </c>
      <c r="C112" s="89" t="s">
        <v>276</v>
      </c>
      <c r="D112" s="89"/>
      <c r="E112" s="89" t="s">
        <v>291</v>
      </c>
      <c r="F112" s="89" t="s">
        <v>227</v>
      </c>
      <c r="G112" s="90">
        <v>4.29</v>
      </c>
      <c r="H112" s="90"/>
      <c r="I112" s="90"/>
      <c r="J112" s="78" t="s">
        <v>316</v>
      </c>
      <c r="K112" s="78" t="s">
        <v>160</v>
      </c>
      <c r="L112" s="38">
        <f>VLOOKUP(K112,Reinigungstage!A10:D31,4,FALSE)</f>
        <v>1</v>
      </c>
      <c r="M112" s="38">
        <f t="shared" si="30"/>
        <v>4.29</v>
      </c>
      <c r="N112" s="92">
        <f t="shared" si="31"/>
        <v>0</v>
      </c>
      <c r="O112" s="38">
        <f ca="1">IF('SVS GrundRG'!H61="",0,'SVS GrundRG'!H61)</f>
        <v>0</v>
      </c>
      <c r="P112" s="38">
        <f t="shared" si="32"/>
        <v>0</v>
      </c>
      <c r="Q112" s="38">
        <f t="shared" si="33"/>
        <v>0</v>
      </c>
      <c r="R112" s="38">
        <f t="shared" si="34"/>
        <v>0</v>
      </c>
      <c r="S112" s="16" t="str">
        <f t="shared" si="35"/>
        <v>Leistungswert eintragen</v>
      </c>
      <c r="U112" s="16">
        <f t="shared" si="36"/>
        <v>16.5</v>
      </c>
      <c r="V112" s="16">
        <f t="shared" si="37"/>
        <v>4.95</v>
      </c>
      <c r="W112" s="16">
        <f t="shared" si="38"/>
        <v>21.45</v>
      </c>
      <c r="X112" s="16" t="str">
        <f t="shared" si="39"/>
        <v/>
      </c>
    </row>
    <row r="113" spans="1:24" ht="15" customHeight="1" x14ac:dyDescent="0.2">
      <c r="A113" s="78">
        <v>92</v>
      </c>
      <c r="B113" s="88">
        <v>136</v>
      </c>
      <c r="C113" s="89" t="s">
        <v>276</v>
      </c>
      <c r="D113" s="89"/>
      <c r="E113" s="89" t="s">
        <v>292</v>
      </c>
      <c r="F113" s="89" t="s">
        <v>227</v>
      </c>
      <c r="G113" s="90">
        <v>3.61</v>
      </c>
      <c r="H113" s="90"/>
      <c r="I113" s="90"/>
      <c r="J113" s="78" t="s">
        <v>312</v>
      </c>
      <c r="K113" s="78" t="s">
        <v>160</v>
      </c>
      <c r="L113" s="38">
        <f>VLOOKUP(K113,Reinigungstage!A10:D31,4,FALSE)</f>
        <v>1</v>
      </c>
      <c r="M113" s="38">
        <f t="shared" si="30"/>
        <v>3.61</v>
      </c>
      <c r="N113" s="92">
        <f t="shared" si="31"/>
        <v>0</v>
      </c>
      <c r="O113" s="38">
        <f ca="1">IF('SVS GrundRG'!H61="",0,'SVS GrundRG'!H61)</f>
        <v>0</v>
      </c>
      <c r="P113" s="38">
        <f t="shared" si="32"/>
        <v>0</v>
      </c>
      <c r="Q113" s="38">
        <f t="shared" si="33"/>
        <v>0</v>
      </c>
      <c r="R113" s="38">
        <f t="shared" si="34"/>
        <v>0</v>
      </c>
      <c r="S113" s="16" t="str">
        <f t="shared" si="35"/>
        <v>Leistungswert eintragen</v>
      </c>
      <c r="U113" s="16">
        <f t="shared" si="36"/>
        <v>7</v>
      </c>
      <c r="V113" s="16">
        <f t="shared" si="37"/>
        <v>2.1</v>
      </c>
      <c r="W113" s="16">
        <f t="shared" si="38"/>
        <v>9.1</v>
      </c>
      <c r="X113" s="16" t="str">
        <f t="shared" si="39"/>
        <v/>
      </c>
    </row>
    <row r="114" spans="1:24" ht="15" customHeight="1" x14ac:dyDescent="0.2">
      <c r="A114" s="78">
        <v>93</v>
      </c>
      <c r="B114" s="88">
        <v>141</v>
      </c>
      <c r="C114" s="89" t="s">
        <v>276</v>
      </c>
      <c r="D114" s="89"/>
      <c r="E114" s="89" t="s">
        <v>294</v>
      </c>
      <c r="F114" s="89" t="s">
        <v>295</v>
      </c>
      <c r="G114" s="90">
        <v>405</v>
      </c>
      <c r="H114" s="90"/>
      <c r="I114" s="90"/>
      <c r="J114" s="78" t="s">
        <v>317</v>
      </c>
      <c r="K114" s="78" t="s">
        <v>160</v>
      </c>
      <c r="L114" s="38">
        <f>VLOOKUP(K114,Reinigungstage!A10:D31,4,FALSE)</f>
        <v>1</v>
      </c>
      <c r="M114" s="38">
        <f t="shared" si="30"/>
        <v>405</v>
      </c>
      <c r="N114" s="92">
        <f t="shared" si="31"/>
        <v>0</v>
      </c>
      <c r="O114" s="38">
        <f ca="1">IF('SVS GrundRG'!H61="",0,'SVS GrundRG'!H61)</f>
        <v>0</v>
      </c>
      <c r="P114" s="38">
        <f t="shared" si="32"/>
        <v>0</v>
      </c>
      <c r="Q114" s="38">
        <f t="shared" si="33"/>
        <v>0</v>
      </c>
      <c r="R114" s="38">
        <f t="shared" si="34"/>
        <v>0</v>
      </c>
      <c r="S114" s="16" t="str">
        <f t="shared" si="35"/>
        <v>Leistungswert eintragen</v>
      </c>
      <c r="U114" s="16">
        <f t="shared" si="36"/>
        <v>25.5</v>
      </c>
      <c r="V114" s="16">
        <f t="shared" si="37"/>
        <v>7.6499999999999995</v>
      </c>
      <c r="W114" s="16">
        <f t="shared" si="38"/>
        <v>33.15</v>
      </c>
      <c r="X114" s="16" t="str">
        <f t="shared" si="39"/>
        <v/>
      </c>
    </row>
    <row r="115" spans="1:24" ht="15" customHeight="1" x14ac:dyDescent="0.2">
      <c r="A115" s="78">
        <v>94</v>
      </c>
      <c r="B115" s="88">
        <v>151</v>
      </c>
      <c r="C115" s="89" t="s">
        <v>276</v>
      </c>
      <c r="D115" s="89"/>
      <c r="E115" s="89" t="s">
        <v>297</v>
      </c>
      <c r="F115" s="89" t="s">
        <v>227</v>
      </c>
      <c r="G115" s="90">
        <v>11.88</v>
      </c>
      <c r="H115" s="90"/>
      <c r="I115" s="90"/>
      <c r="J115" s="78" t="s">
        <v>309</v>
      </c>
      <c r="K115" s="78" t="s">
        <v>160</v>
      </c>
      <c r="L115" s="38">
        <f>VLOOKUP(K115,Reinigungstage!A10:D31,4,FALSE)</f>
        <v>1</v>
      </c>
      <c r="M115" s="38">
        <f t="shared" si="30"/>
        <v>11.88</v>
      </c>
      <c r="N115" s="92">
        <f t="shared" si="31"/>
        <v>0</v>
      </c>
      <c r="O115" s="38">
        <f ca="1">IF('SVS GrundRG'!H61="",0,'SVS GrundRG'!H61)</f>
        <v>0</v>
      </c>
      <c r="P115" s="38">
        <f t="shared" si="32"/>
        <v>0</v>
      </c>
      <c r="Q115" s="38">
        <f t="shared" si="33"/>
        <v>0</v>
      </c>
      <c r="R115" s="38">
        <f t="shared" si="34"/>
        <v>0</v>
      </c>
      <c r="S115" s="16" t="str">
        <f t="shared" si="35"/>
        <v>Leistungswert eintragen</v>
      </c>
      <c r="U115" s="16">
        <f t="shared" si="36"/>
        <v>15</v>
      </c>
      <c r="V115" s="16">
        <f t="shared" si="37"/>
        <v>4.5</v>
      </c>
      <c r="W115" s="16">
        <f t="shared" si="38"/>
        <v>19.5</v>
      </c>
      <c r="X115" s="16" t="str">
        <f t="shared" si="39"/>
        <v/>
      </c>
    </row>
    <row r="116" spans="1:24" ht="15" customHeight="1" x14ac:dyDescent="0.2">
      <c r="A116" s="78">
        <v>95</v>
      </c>
      <c r="B116" s="88">
        <v>152</v>
      </c>
      <c r="C116" s="89" t="s">
        <v>276</v>
      </c>
      <c r="D116" s="89"/>
      <c r="E116" s="89" t="s">
        <v>297</v>
      </c>
      <c r="F116" s="89" t="s">
        <v>227</v>
      </c>
      <c r="G116" s="90">
        <v>10.25</v>
      </c>
      <c r="H116" s="90"/>
      <c r="I116" s="90"/>
      <c r="J116" s="78" t="s">
        <v>309</v>
      </c>
      <c r="K116" s="78" t="s">
        <v>160</v>
      </c>
      <c r="L116" s="38">
        <f>VLOOKUP(K116,Reinigungstage!A10:D31,4,FALSE)</f>
        <v>1</v>
      </c>
      <c r="M116" s="38">
        <f t="shared" si="30"/>
        <v>10.25</v>
      </c>
      <c r="N116" s="92">
        <f t="shared" si="31"/>
        <v>0</v>
      </c>
      <c r="O116" s="38">
        <f ca="1">IF('SVS GrundRG'!H61="",0,'SVS GrundRG'!H61)</f>
        <v>0</v>
      </c>
      <c r="P116" s="38">
        <f t="shared" si="32"/>
        <v>0</v>
      </c>
      <c r="Q116" s="38">
        <f t="shared" si="33"/>
        <v>0</v>
      </c>
      <c r="R116" s="38">
        <f t="shared" si="34"/>
        <v>0</v>
      </c>
      <c r="S116" s="16" t="str">
        <f t="shared" si="35"/>
        <v>Leistungswert eintragen</v>
      </c>
      <c r="U116" s="16">
        <f t="shared" si="36"/>
        <v>15</v>
      </c>
      <c r="V116" s="16">
        <f t="shared" si="37"/>
        <v>4.5</v>
      </c>
      <c r="W116" s="16">
        <f t="shared" si="38"/>
        <v>19.5</v>
      </c>
      <c r="X116" s="16" t="str">
        <f t="shared" si="39"/>
        <v/>
      </c>
    </row>
    <row r="117" spans="1:24" ht="15" customHeight="1" x14ac:dyDescent="0.2">
      <c r="A117" s="78">
        <v>96</v>
      </c>
      <c r="B117" s="88">
        <v>153</v>
      </c>
      <c r="C117" s="89" t="s">
        <v>276</v>
      </c>
      <c r="D117" s="89"/>
      <c r="E117" s="89" t="s">
        <v>298</v>
      </c>
      <c r="F117" s="89" t="s">
        <v>227</v>
      </c>
      <c r="G117" s="90">
        <v>9.51</v>
      </c>
      <c r="H117" s="90"/>
      <c r="I117" s="90"/>
      <c r="J117" s="78" t="s">
        <v>312</v>
      </c>
      <c r="K117" s="78" t="s">
        <v>160</v>
      </c>
      <c r="L117" s="38">
        <f>VLOOKUP(K117,Reinigungstage!A10:D31,4,FALSE)</f>
        <v>1</v>
      </c>
      <c r="M117" s="38">
        <f t="shared" si="30"/>
        <v>9.51</v>
      </c>
      <c r="N117" s="92">
        <f t="shared" si="31"/>
        <v>0</v>
      </c>
      <c r="O117" s="38">
        <f ca="1">IF('SVS GrundRG'!H61="",0,'SVS GrundRG'!H61)</f>
        <v>0</v>
      </c>
      <c r="P117" s="38">
        <f t="shared" si="32"/>
        <v>0</v>
      </c>
      <c r="Q117" s="38">
        <f t="shared" si="33"/>
        <v>0</v>
      </c>
      <c r="R117" s="38">
        <f t="shared" si="34"/>
        <v>0</v>
      </c>
      <c r="S117" s="16" t="str">
        <f t="shared" si="35"/>
        <v>Leistungswert eintragen</v>
      </c>
      <c r="U117" s="16">
        <f t="shared" si="36"/>
        <v>7</v>
      </c>
      <c r="V117" s="16">
        <f t="shared" si="37"/>
        <v>2.1</v>
      </c>
      <c r="W117" s="16">
        <f t="shared" si="38"/>
        <v>9.1</v>
      </c>
      <c r="X117" s="16" t="str">
        <f t="shared" si="39"/>
        <v/>
      </c>
    </row>
    <row r="118" spans="1:24" ht="15" customHeight="1" x14ac:dyDescent="0.2">
      <c r="A118" s="78">
        <v>97</v>
      </c>
      <c r="B118" s="88">
        <v>154</v>
      </c>
      <c r="C118" s="89" t="s">
        <v>276</v>
      </c>
      <c r="D118" s="89"/>
      <c r="E118" s="89" t="s">
        <v>299</v>
      </c>
      <c r="F118" s="89" t="s">
        <v>227</v>
      </c>
      <c r="G118" s="90">
        <v>2.99</v>
      </c>
      <c r="H118" s="90"/>
      <c r="I118" s="90"/>
      <c r="J118" s="78" t="s">
        <v>312</v>
      </c>
      <c r="K118" s="78" t="s">
        <v>160</v>
      </c>
      <c r="L118" s="38">
        <f>VLOOKUP(K118,Reinigungstage!A10:D31,4,FALSE)</f>
        <v>1</v>
      </c>
      <c r="M118" s="38">
        <f t="shared" si="30"/>
        <v>2.99</v>
      </c>
      <c r="N118" s="92">
        <f t="shared" si="31"/>
        <v>0</v>
      </c>
      <c r="O118" s="38">
        <f ca="1">IF('SVS GrundRG'!H61="",0,'SVS GrundRG'!H61)</f>
        <v>0</v>
      </c>
      <c r="P118" s="38">
        <f t="shared" si="32"/>
        <v>0</v>
      </c>
      <c r="Q118" s="38">
        <f t="shared" si="33"/>
        <v>0</v>
      </c>
      <c r="R118" s="38">
        <f t="shared" si="34"/>
        <v>0</v>
      </c>
      <c r="S118" s="16" t="str">
        <f t="shared" si="35"/>
        <v>Leistungswert eintragen</v>
      </c>
      <c r="U118" s="16">
        <f t="shared" si="36"/>
        <v>7</v>
      </c>
      <c r="V118" s="16">
        <f t="shared" si="37"/>
        <v>2.1</v>
      </c>
      <c r="W118" s="16">
        <f t="shared" si="38"/>
        <v>9.1</v>
      </c>
      <c r="X118" s="16" t="str">
        <f t="shared" si="39"/>
        <v/>
      </c>
    </row>
    <row r="119" spans="1:24" ht="15" customHeight="1" x14ac:dyDescent="0.2">
      <c r="A119" s="78">
        <v>98</v>
      </c>
      <c r="B119" s="88">
        <v>155</v>
      </c>
      <c r="C119" s="89" t="s">
        <v>276</v>
      </c>
      <c r="D119" s="89"/>
      <c r="E119" s="89" t="s">
        <v>299</v>
      </c>
      <c r="F119" s="89" t="s">
        <v>227</v>
      </c>
      <c r="G119" s="90">
        <v>2.86</v>
      </c>
      <c r="H119" s="90"/>
      <c r="I119" s="90"/>
      <c r="J119" s="78" t="s">
        <v>312</v>
      </c>
      <c r="K119" s="78" t="s">
        <v>160</v>
      </c>
      <c r="L119" s="38">
        <f>VLOOKUP(K119,Reinigungstage!A10:D31,4,FALSE)</f>
        <v>1</v>
      </c>
      <c r="M119" s="38">
        <f t="shared" si="30"/>
        <v>2.86</v>
      </c>
      <c r="N119" s="92">
        <f t="shared" si="31"/>
        <v>0</v>
      </c>
      <c r="O119" s="38">
        <f ca="1">IF('SVS GrundRG'!H61="",0,'SVS GrundRG'!H61)</f>
        <v>0</v>
      </c>
      <c r="P119" s="38">
        <f t="shared" si="32"/>
        <v>0</v>
      </c>
      <c r="Q119" s="38">
        <f t="shared" si="33"/>
        <v>0</v>
      </c>
      <c r="R119" s="38">
        <f t="shared" si="34"/>
        <v>0</v>
      </c>
      <c r="S119" s="16" t="str">
        <f t="shared" si="35"/>
        <v>Leistungswert eintragen</v>
      </c>
      <c r="U119" s="16">
        <f t="shared" si="36"/>
        <v>7</v>
      </c>
      <c r="V119" s="16">
        <f t="shared" si="37"/>
        <v>2.1</v>
      </c>
      <c r="W119" s="16">
        <f t="shared" si="38"/>
        <v>9.1</v>
      </c>
      <c r="X119" s="16" t="str">
        <f t="shared" si="39"/>
        <v/>
      </c>
    </row>
    <row r="120" spans="1:24" ht="15" customHeight="1" x14ac:dyDescent="0.2">
      <c r="A120" s="78">
        <v>99</v>
      </c>
      <c r="B120" s="88">
        <v>156</v>
      </c>
      <c r="C120" s="89" t="s">
        <v>276</v>
      </c>
      <c r="D120" s="89"/>
      <c r="E120" s="89" t="s">
        <v>300</v>
      </c>
      <c r="F120" s="89" t="s">
        <v>227</v>
      </c>
      <c r="G120" s="90">
        <v>10.44</v>
      </c>
      <c r="H120" s="90"/>
      <c r="I120" s="90"/>
      <c r="J120" s="78" t="s">
        <v>316</v>
      </c>
      <c r="K120" s="78" t="s">
        <v>160</v>
      </c>
      <c r="L120" s="38">
        <f>VLOOKUP(K120,Reinigungstage!A10:D31,4,FALSE)</f>
        <v>1</v>
      </c>
      <c r="M120" s="38">
        <f t="shared" si="30"/>
        <v>10.44</v>
      </c>
      <c r="N120" s="92">
        <f t="shared" si="31"/>
        <v>0</v>
      </c>
      <c r="O120" s="38">
        <f ca="1">IF('SVS GrundRG'!H61="",0,'SVS GrundRG'!H61)</f>
        <v>0</v>
      </c>
      <c r="P120" s="38">
        <f t="shared" si="32"/>
        <v>0</v>
      </c>
      <c r="Q120" s="38">
        <f t="shared" si="33"/>
        <v>0</v>
      </c>
      <c r="R120" s="38">
        <f t="shared" si="34"/>
        <v>0</v>
      </c>
      <c r="S120" s="16" t="str">
        <f t="shared" si="35"/>
        <v>Leistungswert eintragen</v>
      </c>
      <c r="U120" s="16">
        <f t="shared" si="36"/>
        <v>16.5</v>
      </c>
      <c r="V120" s="16">
        <f t="shared" si="37"/>
        <v>4.95</v>
      </c>
      <c r="W120" s="16">
        <f t="shared" si="38"/>
        <v>21.45</v>
      </c>
      <c r="X120" s="16" t="str">
        <f t="shared" si="39"/>
        <v/>
      </c>
    </row>
    <row r="121" spans="1:24" ht="15" customHeight="1" x14ac:dyDescent="0.2">
      <c r="A121" s="78">
        <v>100</v>
      </c>
      <c r="B121" s="88">
        <v>157</v>
      </c>
      <c r="C121" s="89" t="s">
        <v>276</v>
      </c>
      <c r="D121" s="89"/>
      <c r="E121" s="89" t="s">
        <v>301</v>
      </c>
      <c r="F121" s="89" t="s">
        <v>227</v>
      </c>
      <c r="G121" s="90">
        <v>12.92</v>
      </c>
      <c r="H121" s="90"/>
      <c r="I121" s="90"/>
      <c r="J121" s="78" t="s">
        <v>312</v>
      </c>
      <c r="K121" s="78" t="s">
        <v>160</v>
      </c>
      <c r="L121" s="38">
        <f>VLOOKUP(K121,Reinigungstage!A10:D31,4,FALSE)</f>
        <v>1</v>
      </c>
      <c r="M121" s="38">
        <f t="shared" si="30"/>
        <v>12.92</v>
      </c>
      <c r="N121" s="92">
        <f t="shared" si="31"/>
        <v>0</v>
      </c>
      <c r="O121" s="38">
        <f ca="1">IF('SVS GrundRG'!H61="",0,'SVS GrundRG'!H61)</f>
        <v>0</v>
      </c>
      <c r="P121" s="38">
        <f t="shared" si="32"/>
        <v>0</v>
      </c>
      <c r="Q121" s="38">
        <f t="shared" si="33"/>
        <v>0</v>
      </c>
      <c r="R121" s="38">
        <f t="shared" si="34"/>
        <v>0</v>
      </c>
      <c r="S121" s="16" t="str">
        <f t="shared" si="35"/>
        <v>Leistungswert eintragen</v>
      </c>
      <c r="U121" s="16">
        <f t="shared" si="36"/>
        <v>7</v>
      </c>
      <c r="V121" s="16">
        <f t="shared" si="37"/>
        <v>2.1</v>
      </c>
      <c r="W121" s="16">
        <f t="shared" si="38"/>
        <v>9.1</v>
      </c>
      <c r="X121" s="16" t="str">
        <f t="shared" si="39"/>
        <v/>
      </c>
    </row>
    <row r="122" spans="1:24" ht="15" customHeight="1" x14ac:dyDescent="0.2">
      <c r="A122" s="78">
        <v>101</v>
      </c>
      <c r="B122" s="88">
        <v>158</v>
      </c>
      <c r="C122" s="89" t="s">
        <v>276</v>
      </c>
      <c r="D122" s="89"/>
      <c r="E122" s="89" t="s">
        <v>302</v>
      </c>
      <c r="F122" s="89" t="s">
        <v>227</v>
      </c>
      <c r="G122" s="90">
        <v>10.58</v>
      </c>
      <c r="H122" s="90"/>
      <c r="I122" s="90"/>
      <c r="J122" s="78" t="s">
        <v>316</v>
      </c>
      <c r="K122" s="78" t="s">
        <v>160</v>
      </c>
      <c r="L122" s="38">
        <f>VLOOKUP(K122,Reinigungstage!A10:D31,4,FALSE)</f>
        <v>1</v>
      </c>
      <c r="M122" s="38">
        <f t="shared" si="30"/>
        <v>10.58</v>
      </c>
      <c r="N122" s="92">
        <f t="shared" si="31"/>
        <v>0</v>
      </c>
      <c r="O122" s="38">
        <f ca="1">IF('SVS GrundRG'!H61="",0,'SVS GrundRG'!H61)</f>
        <v>0</v>
      </c>
      <c r="P122" s="38">
        <f t="shared" si="32"/>
        <v>0</v>
      </c>
      <c r="Q122" s="38">
        <f t="shared" si="33"/>
        <v>0</v>
      </c>
      <c r="R122" s="38">
        <f t="shared" si="34"/>
        <v>0</v>
      </c>
      <c r="S122" s="16" t="str">
        <f t="shared" si="35"/>
        <v>Leistungswert eintragen</v>
      </c>
      <c r="U122" s="16">
        <f t="shared" si="36"/>
        <v>16.5</v>
      </c>
      <c r="V122" s="16">
        <f t="shared" si="37"/>
        <v>4.95</v>
      </c>
      <c r="W122" s="16">
        <f t="shared" si="38"/>
        <v>21.45</v>
      </c>
      <c r="X122" s="16" t="str">
        <f t="shared" si="39"/>
        <v/>
      </c>
    </row>
    <row r="123" spans="1:24" ht="15" customHeight="1" x14ac:dyDescent="0.2">
      <c r="A123" s="78">
        <v>102</v>
      </c>
      <c r="B123" s="88">
        <v>159</v>
      </c>
      <c r="C123" s="89" t="s">
        <v>276</v>
      </c>
      <c r="D123" s="89"/>
      <c r="E123" s="89" t="s">
        <v>303</v>
      </c>
      <c r="F123" s="89" t="s">
        <v>227</v>
      </c>
      <c r="G123" s="90">
        <v>13.1</v>
      </c>
      <c r="H123" s="90"/>
      <c r="I123" s="90"/>
      <c r="J123" s="78" t="s">
        <v>312</v>
      </c>
      <c r="K123" s="78" t="s">
        <v>160</v>
      </c>
      <c r="L123" s="38">
        <f>VLOOKUP(K123,Reinigungstage!A10:D31,4,FALSE)</f>
        <v>1</v>
      </c>
      <c r="M123" s="38">
        <f t="shared" si="30"/>
        <v>13.1</v>
      </c>
      <c r="N123" s="92">
        <f t="shared" si="31"/>
        <v>0</v>
      </c>
      <c r="O123" s="38">
        <f ca="1">IF('SVS GrundRG'!H61="",0,'SVS GrundRG'!H61)</f>
        <v>0</v>
      </c>
      <c r="P123" s="38">
        <f t="shared" si="32"/>
        <v>0</v>
      </c>
      <c r="Q123" s="38">
        <f t="shared" si="33"/>
        <v>0</v>
      </c>
      <c r="R123" s="38">
        <f t="shared" si="34"/>
        <v>0</v>
      </c>
      <c r="S123" s="16" t="str">
        <f t="shared" si="35"/>
        <v>Leistungswert eintragen</v>
      </c>
      <c r="U123" s="16">
        <f t="shared" si="36"/>
        <v>7</v>
      </c>
      <c r="V123" s="16">
        <f t="shared" si="37"/>
        <v>2.1</v>
      </c>
      <c r="W123" s="16">
        <f t="shared" si="38"/>
        <v>9.1</v>
      </c>
      <c r="X123" s="16" t="str">
        <f t="shared" si="39"/>
        <v/>
      </c>
    </row>
    <row r="124" spans="1:24" ht="15" customHeight="1" x14ac:dyDescent="0.2">
      <c r="A124" s="78">
        <v>103</v>
      </c>
      <c r="B124" s="88">
        <v>172</v>
      </c>
      <c r="C124" s="89" t="s">
        <v>276</v>
      </c>
      <c r="D124" s="89"/>
      <c r="E124" s="89" t="s">
        <v>240</v>
      </c>
      <c r="F124" s="89" t="s">
        <v>227</v>
      </c>
      <c r="G124" s="90">
        <v>39.9</v>
      </c>
      <c r="H124" s="90"/>
      <c r="I124" s="90"/>
      <c r="J124" s="78" t="s">
        <v>307</v>
      </c>
      <c r="K124" s="78" t="s">
        <v>160</v>
      </c>
      <c r="L124" s="38">
        <f>VLOOKUP(K124,Reinigungstage!A10:D31,4,FALSE)</f>
        <v>1</v>
      </c>
      <c r="M124" s="38">
        <f t="shared" si="30"/>
        <v>39.9</v>
      </c>
      <c r="N124" s="92">
        <f t="shared" si="31"/>
        <v>0</v>
      </c>
      <c r="O124" s="38">
        <f ca="1">IF('SVS GrundRG'!H61="",0,'SVS GrundRG'!H61)</f>
        <v>0</v>
      </c>
      <c r="P124" s="38">
        <f t="shared" si="32"/>
        <v>0</v>
      </c>
      <c r="Q124" s="38">
        <f t="shared" si="33"/>
        <v>0</v>
      </c>
      <c r="R124" s="38">
        <f t="shared" si="34"/>
        <v>0</v>
      </c>
      <c r="S124" s="16" t="str">
        <f t="shared" si="35"/>
        <v>Leistungswert eintragen</v>
      </c>
      <c r="U124" s="16">
        <f t="shared" si="36"/>
        <v>14</v>
      </c>
      <c r="V124" s="16">
        <f t="shared" si="37"/>
        <v>4.2</v>
      </c>
      <c r="W124" s="16">
        <f t="shared" si="38"/>
        <v>18.2</v>
      </c>
      <c r="X124" s="16" t="str">
        <f t="shared" si="39"/>
        <v/>
      </c>
    </row>
    <row r="125" spans="1:24" ht="15" customHeight="1" x14ac:dyDescent="0.2">
      <c r="A125" s="78">
        <v>104</v>
      </c>
      <c r="B125" s="88">
        <v>175</v>
      </c>
      <c r="C125" s="89" t="s">
        <v>276</v>
      </c>
      <c r="D125" s="89"/>
      <c r="E125" s="89" t="s">
        <v>245</v>
      </c>
      <c r="F125" s="89" t="s">
        <v>229</v>
      </c>
      <c r="G125" s="90">
        <v>66.69</v>
      </c>
      <c r="H125" s="90"/>
      <c r="I125" s="90"/>
      <c r="J125" s="78" t="s">
        <v>313</v>
      </c>
      <c r="K125" s="78" t="s">
        <v>160</v>
      </c>
      <c r="L125" s="38">
        <f>VLOOKUP(K125,Reinigungstage!A10:D31,4,FALSE)</f>
        <v>1</v>
      </c>
      <c r="M125" s="38">
        <f t="shared" si="30"/>
        <v>66.69</v>
      </c>
      <c r="N125" s="92">
        <f t="shared" si="31"/>
        <v>0</v>
      </c>
      <c r="O125" s="38">
        <f ca="1">IF('SVS GrundRG'!H61="",0,'SVS GrundRG'!H61)</f>
        <v>0</v>
      </c>
      <c r="P125" s="38">
        <f t="shared" si="32"/>
        <v>0</v>
      </c>
      <c r="Q125" s="38">
        <f t="shared" si="33"/>
        <v>0</v>
      </c>
      <c r="R125" s="38">
        <f t="shared" si="34"/>
        <v>0</v>
      </c>
      <c r="S125" s="16" t="str">
        <f t="shared" si="35"/>
        <v>Leistungswert eintragen</v>
      </c>
      <c r="U125" s="16">
        <f t="shared" si="36"/>
        <v>24</v>
      </c>
      <c r="V125" s="16">
        <f t="shared" si="37"/>
        <v>7.1999999999999993</v>
      </c>
      <c r="W125" s="16">
        <f t="shared" si="38"/>
        <v>31.2</v>
      </c>
      <c r="X125" s="16" t="str">
        <f t="shared" si="39"/>
        <v/>
      </c>
    </row>
    <row r="126" spans="1:24" ht="15" customHeight="1" x14ac:dyDescent="0.2">
      <c r="A126" s="78">
        <v>105</v>
      </c>
      <c r="B126" s="88">
        <v>176</v>
      </c>
      <c r="C126" s="89" t="s">
        <v>276</v>
      </c>
      <c r="D126" s="89"/>
      <c r="E126" s="89" t="s">
        <v>245</v>
      </c>
      <c r="F126" s="89" t="s">
        <v>229</v>
      </c>
      <c r="G126" s="90">
        <v>102</v>
      </c>
      <c r="H126" s="90"/>
      <c r="I126" s="90"/>
      <c r="J126" s="78" t="s">
        <v>313</v>
      </c>
      <c r="K126" s="78" t="s">
        <v>160</v>
      </c>
      <c r="L126" s="38">
        <f>VLOOKUP(K126,Reinigungstage!A10:D31,4,FALSE)</f>
        <v>1</v>
      </c>
      <c r="M126" s="38">
        <f t="shared" si="30"/>
        <v>102</v>
      </c>
      <c r="N126" s="92">
        <f t="shared" si="31"/>
        <v>0</v>
      </c>
      <c r="O126" s="38">
        <f ca="1">IF('SVS GrundRG'!H61="",0,'SVS GrundRG'!H61)</f>
        <v>0</v>
      </c>
      <c r="P126" s="38">
        <f t="shared" si="32"/>
        <v>0</v>
      </c>
      <c r="Q126" s="38">
        <f t="shared" si="33"/>
        <v>0</v>
      </c>
      <c r="R126" s="38">
        <f t="shared" si="34"/>
        <v>0</v>
      </c>
      <c r="S126" s="16" t="str">
        <f t="shared" si="35"/>
        <v>Leistungswert eintragen</v>
      </c>
      <c r="U126" s="16">
        <f t="shared" si="36"/>
        <v>24</v>
      </c>
      <c r="V126" s="16">
        <f t="shared" si="37"/>
        <v>7.1999999999999993</v>
      </c>
      <c r="W126" s="16">
        <f t="shared" si="38"/>
        <v>31.2</v>
      </c>
      <c r="X126" s="16" t="str">
        <f t="shared" si="39"/>
        <v/>
      </c>
    </row>
    <row r="127" spans="1:24" ht="15" customHeight="1" x14ac:dyDescent="0.2">
      <c r="A127" s="78">
        <v>106</v>
      </c>
      <c r="B127" s="88">
        <v>177</v>
      </c>
      <c r="C127" s="89" t="s">
        <v>276</v>
      </c>
      <c r="D127" s="89"/>
      <c r="E127" s="89" t="s">
        <v>245</v>
      </c>
      <c r="F127" s="89" t="s">
        <v>229</v>
      </c>
      <c r="G127" s="90">
        <v>67.39</v>
      </c>
      <c r="H127" s="90"/>
      <c r="I127" s="90"/>
      <c r="J127" s="78" t="s">
        <v>313</v>
      </c>
      <c r="K127" s="78" t="s">
        <v>160</v>
      </c>
      <c r="L127" s="38">
        <f>VLOOKUP(K127,Reinigungstage!A10:D31,4,FALSE)</f>
        <v>1</v>
      </c>
      <c r="M127" s="38">
        <f t="shared" ref="M127:M131" si="40">ROUND(IF(L127=0,0,L127*G127),2)</f>
        <v>67.39</v>
      </c>
      <c r="N127" s="92">
        <f t="shared" ref="N127:N131" si="41">VLOOKUP(J127,$G$4:$H$14,2,FALSE)</f>
        <v>0</v>
      </c>
      <c r="O127" s="38">
        <f ca="1">IF('SVS GrundRG'!H61="",0,'SVS GrundRG'!H61)</f>
        <v>0</v>
      </c>
      <c r="P127" s="38">
        <f t="shared" ref="P127:P131" si="42">ROUND(IF(N127=0,0,M127/N127),2)</f>
        <v>0</v>
      </c>
      <c r="Q127" s="38">
        <f t="shared" ref="Q127:Q131" si="43">ROUND(IF(P127=0,0,P127*O127),2)</f>
        <v>0</v>
      </c>
      <c r="R127" s="38">
        <f t="shared" ref="R127:R131" si="44">ROUND(IF(P127=0,0,Q127/L127),2)</f>
        <v>0</v>
      </c>
      <c r="S127" s="16" t="str">
        <f t="shared" ref="S127:S131" si="45">IF(M127=0,"",IF(N127=0,"Leistungswert eintragen",IF(O127=0,"SVS prüfen","")))</f>
        <v>Leistungswert eintragen</v>
      </c>
      <c r="U127" s="16">
        <f t="shared" ref="U127:U131" si="46">VLOOKUP(J127,$U$4:$V$14,2,FALSE)</f>
        <v>24</v>
      </c>
      <c r="V127" s="16">
        <f t="shared" ref="V127:V131" si="47">U127*30%</f>
        <v>7.1999999999999993</v>
      </c>
      <c r="W127" s="16">
        <f t="shared" ref="W127:W131" si="48">SUM(U127:V127)</f>
        <v>31.2</v>
      </c>
      <c r="X127" s="16" t="str">
        <f t="shared" ref="X127:X131" si="49">IF(N127=0,"",IF(W127&lt;N127,1,IF(W127&gt;=N127,0,"")))</f>
        <v/>
      </c>
    </row>
    <row r="128" spans="1:24" ht="15" customHeight="1" x14ac:dyDescent="0.2">
      <c r="A128" s="78">
        <v>107</v>
      </c>
      <c r="B128" s="88">
        <v>179</v>
      </c>
      <c r="C128" s="89" t="s">
        <v>276</v>
      </c>
      <c r="D128" s="89"/>
      <c r="E128" s="89" t="s">
        <v>247</v>
      </c>
      <c r="F128" s="89" t="s">
        <v>227</v>
      </c>
      <c r="G128" s="90">
        <v>41.01</v>
      </c>
      <c r="H128" s="90"/>
      <c r="I128" s="90"/>
      <c r="J128" s="78" t="s">
        <v>307</v>
      </c>
      <c r="K128" s="78" t="s">
        <v>160</v>
      </c>
      <c r="L128" s="38">
        <f>VLOOKUP(K128,Reinigungstage!A10:D31,4,FALSE)</f>
        <v>1</v>
      </c>
      <c r="M128" s="38">
        <f t="shared" si="40"/>
        <v>41.01</v>
      </c>
      <c r="N128" s="92">
        <f t="shared" si="41"/>
        <v>0</v>
      </c>
      <c r="O128" s="38">
        <f ca="1">IF('SVS GrundRG'!H61="",0,'SVS GrundRG'!H61)</f>
        <v>0</v>
      </c>
      <c r="P128" s="38">
        <f t="shared" si="42"/>
        <v>0</v>
      </c>
      <c r="Q128" s="38">
        <f t="shared" si="43"/>
        <v>0</v>
      </c>
      <c r="R128" s="38">
        <f t="shared" si="44"/>
        <v>0</v>
      </c>
      <c r="S128" s="16" t="str">
        <f t="shared" si="45"/>
        <v>Leistungswert eintragen</v>
      </c>
      <c r="U128" s="16">
        <f t="shared" si="46"/>
        <v>14</v>
      </c>
      <c r="V128" s="16">
        <f t="shared" si="47"/>
        <v>4.2</v>
      </c>
      <c r="W128" s="16">
        <f t="shared" si="48"/>
        <v>18.2</v>
      </c>
      <c r="X128" s="16" t="str">
        <f t="shared" si="49"/>
        <v/>
      </c>
    </row>
    <row r="129" spans="1:24" ht="15" customHeight="1" x14ac:dyDescent="0.2">
      <c r="A129" s="78">
        <v>108</v>
      </c>
      <c r="B129" s="88">
        <v>181</v>
      </c>
      <c r="C129" s="89" t="s">
        <v>276</v>
      </c>
      <c r="D129" s="89"/>
      <c r="E129" s="89" t="s">
        <v>305</v>
      </c>
      <c r="F129" s="89" t="s">
        <v>227</v>
      </c>
      <c r="G129" s="90">
        <v>89.62</v>
      </c>
      <c r="H129" s="90"/>
      <c r="I129" s="90"/>
      <c r="J129" s="78" t="s">
        <v>313</v>
      </c>
      <c r="K129" s="78" t="s">
        <v>160</v>
      </c>
      <c r="L129" s="38">
        <f>VLOOKUP(K129,Reinigungstage!A10:D31,4,FALSE)</f>
        <v>1</v>
      </c>
      <c r="M129" s="38">
        <f t="shared" si="40"/>
        <v>89.62</v>
      </c>
      <c r="N129" s="92">
        <f t="shared" si="41"/>
        <v>0</v>
      </c>
      <c r="O129" s="38">
        <f ca="1">IF('SVS GrundRG'!H61="",0,'SVS GrundRG'!H61)</f>
        <v>0</v>
      </c>
      <c r="P129" s="38">
        <f t="shared" si="42"/>
        <v>0</v>
      </c>
      <c r="Q129" s="38">
        <f t="shared" si="43"/>
        <v>0</v>
      </c>
      <c r="R129" s="38">
        <f t="shared" si="44"/>
        <v>0</v>
      </c>
      <c r="S129" s="16" t="str">
        <f t="shared" si="45"/>
        <v>Leistungswert eintragen</v>
      </c>
      <c r="U129" s="16">
        <f t="shared" si="46"/>
        <v>24</v>
      </c>
      <c r="V129" s="16">
        <f t="shared" si="47"/>
        <v>7.1999999999999993</v>
      </c>
      <c r="W129" s="16">
        <f t="shared" si="48"/>
        <v>31.2</v>
      </c>
      <c r="X129" s="16" t="str">
        <f t="shared" si="49"/>
        <v/>
      </c>
    </row>
    <row r="130" spans="1:24" ht="15" customHeight="1" x14ac:dyDescent="0.2">
      <c r="A130" s="78">
        <v>109</v>
      </c>
      <c r="B130" s="88">
        <v>182</v>
      </c>
      <c r="C130" s="89" t="s">
        <v>276</v>
      </c>
      <c r="D130" s="89"/>
      <c r="E130" s="89" t="s">
        <v>274</v>
      </c>
      <c r="F130" s="89" t="s">
        <v>227</v>
      </c>
      <c r="G130" s="90">
        <v>36.69</v>
      </c>
      <c r="H130" s="90"/>
      <c r="I130" s="90"/>
      <c r="J130" s="78" t="s">
        <v>307</v>
      </c>
      <c r="K130" s="78" t="s">
        <v>160</v>
      </c>
      <c r="L130" s="38">
        <f>VLOOKUP(K130,Reinigungstage!A10:D31,4,FALSE)</f>
        <v>1</v>
      </c>
      <c r="M130" s="38">
        <f t="shared" si="40"/>
        <v>36.69</v>
      </c>
      <c r="N130" s="92">
        <f t="shared" si="41"/>
        <v>0</v>
      </c>
      <c r="O130" s="38">
        <f ca="1">IF('SVS GrundRG'!H61="",0,'SVS GrundRG'!H61)</f>
        <v>0</v>
      </c>
      <c r="P130" s="38">
        <f t="shared" si="42"/>
        <v>0</v>
      </c>
      <c r="Q130" s="38">
        <f t="shared" si="43"/>
        <v>0</v>
      </c>
      <c r="R130" s="38">
        <f t="shared" si="44"/>
        <v>0</v>
      </c>
      <c r="S130" s="16" t="str">
        <f t="shared" si="45"/>
        <v>Leistungswert eintragen</v>
      </c>
      <c r="U130" s="16">
        <f t="shared" si="46"/>
        <v>14</v>
      </c>
      <c r="V130" s="16">
        <f t="shared" si="47"/>
        <v>4.2</v>
      </c>
      <c r="W130" s="16">
        <f t="shared" si="48"/>
        <v>18.2</v>
      </c>
      <c r="X130" s="16" t="str">
        <f t="shared" si="49"/>
        <v/>
      </c>
    </row>
    <row r="131" spans="1:24" ht="15" customHeight="1" x14ac:dyDescent="0.2">
      <c r="A131" s="78">
        <v>110</v>
      </c>
      <c r="B131" s="88">
        <v>192</v>
      </c>
      <c r="C131" s="89" t="s">
        <v>276</v>
      </c>
      <c r="D131" s="89"/>
      <c r="E131" s="89" t="s">
        <v>275</v>
      </c>
      <c r="F131" s="89" t="s">
        <v>227</v>
      </c>
      <c r="G131" s="90">
        <v>24.35</v>
      </c>
      <c r="H131" s="90"/>
      <c r="I131" s="90"/>
      <c r="J131" s="78" t="s">
        <v>307</v>
      </c>
      <c r="K131" s="78" t="s">
        <v>160</v>
      </c>
      <c r="L131" s="38">
        <f>VLOOKUP(K131,Reinigungstage!A10:D31,4,FALSE)</f>
        <v>1</v>
      </c>
      <c r="M131" s="38">
        <f t="shared" si="40"/>
        <v>24.35</v>
      </c>
      <c r="N131" s="92">
        <f t="shared" si="41"/>
        <v>0</v>
      </c>
      <c r="O131" s="38">
        <f ca="1">IF('SVS GrundRG'!H61="",0,'SVS GrundRG'!H61)</f>
        <v>0</v>
      </c>
      <c r="P131" s="38">
        <f t="shared" si="42"/>
        <v>0</v>
      </c>
      <c r="Q131" s="38">
        <f t="shared" si="43"/>
        <v>0</v>
      </c>
      <c r="R131" s="38">
        <f t="shared" si="44"/>
        <v>0</v>
      </c>
      <c r="S131" s="16" t="str">
        <f t="shared" si="45"/>
        <v>Leistungswert eintragen</v>
      </c>
      <c r="U131" s="16">
        <f t="shared" si="46"/>
        <v>14</v>
      </c>
      <c r="V131" s="16">
        <f t="shared" si="47"/>
        <v>4.2</v>
      </c>
      <c r="W131" s="16">
        <f t="shared" si="48"/>
        <v>18.2</v>
      </c>
      <c r="X131" s="16" t="str">
        <f t="shared" si="49"/>
        <v/>
      </c>
    </row>
  </sheetData>
  <sheetProtection algorithmName="SHA-512" hashValue="7CUCWIZ9lBAjYEfLKdkYKJ3SfD5F0YaRHN9VQTrpSel6+1y8pt3KP580bxZyDsmlnVh3Xnkrh0pWK9/c9QYBMw==" saltValue="cj2TjjzJ043QRpvP6lsW5w==" spinCount="100000" sheet="1" objects="1" scenarios="1"/>
  <sortState xmlns:xlrd2="http://schemas.microsoft.com/office/spreadsheetml/2017/richdata2" ref="U4:U14">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107"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106" priority="5" operator="containsText" text="Bitte prüfen Sie diese.">
      <formula>NOT(ISERROR(SEARCH("Bitte prüfen Sie diese.",L9)))</formula>
    </cfRule>
  </conditionalFormatting>
  <conditionalFormatting sqref="L10">
    <cfRule type="containsText" dxfId="105"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104" priority="3" operator="containsText" text="lediglich Fehleingaben vermeiden wollen.">
      <formula>NOT(ISERROR(SEARCH("lediglich Fehleingaben vermeiden wollen.",L11)))</formula>
    </cfRule>
  </conditionalFormatting>
  <conditionalFormatting sqref="M11">
    <cfRule type="containsText" dxfId="103" priority="8" operator="containsText" text="Bitte die Leistungswerte im Leistungsverzeichnis/ Tabellenblatt Leistungsrichtwerte">
      <formula>NOT(ISERROR(SEARCH("Bitte die Leistungswerte im Leistungsverzeichnis/ Tabellenblatt Leistungsrichtwerte",M11)))</formula>
    </cfRule>
  </conditionalFormatting>
  <conditionalFormatting sqref="M12">
    <cfRule type="containsText" dxfId="102" priority="7" operator="containsText" text="für die Objektart prüfen.">
      <formula>NOT(ISERROR(SEARCH("für die Objektart prüfen.",M12)))</formula>
    </cfRule>
  </conditionalFormatting>
  <conditionalFormatting sqref="N13">
    <cfRule type="expression" dxfId="101" priority="2" stopIfTrue="1">
      <formula>N13=0</formula>
    </cfRule>
  </conditionalFormatting>
  <conditionalFormatting sqref="N14">
    <cfRule type="expression" dxfId="100" priority="1">
      <formula>N14=0</formula>
    </cfRule>
  </conditionalFormatting>
  <conditionalFormatting sqref="N22:N131">
    <cfRule type="expression" dxfId="99" priority="11">
      <formula>X22=0</formula>
    </cfRule>
    <cfRule type="expression" dxfId="98" priority="12" stopIfTrue="1">
      <formula>X22=1</formula>
    </cfRule>
  </conditionalFormatting>
  <conditionalFormatting sqref="O13">
    <cfRule type="containsText" dxfId="97" priority="10"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96" priority="9" operator="containsText" text="Wert(e) prüfen.">
      <formula>NOT(ISERROR(SEARCH("Wert(e) prüfen.",O14)))</formula>
    </cfRule>
  </conditionalFormatting>
  <conditionalFormatting sqref="S22:S131">
    <cfRule type="containsText" dxfId="95" priority="13" stopIfTrue="1" operator="containsText" text="SVS prüfen">
      <formula>NOT(ISERROR(SEARCH("SVS prüfen",S22)))</formula>
    </cfRule>
    <cfRule type="containsText" dxfId="94" priority="14" stopIfTrue="1" operator="containsText" text="Leistungswert eintragen">
      <formula>NOT(ISERROR(SEARCH("Leistungswert eintragen",S22)))</formula>
    </cfRule>
  </conditionalFormatting>
  <hyperlinks>
    <hyperlink ref="M1" location="Inhaltsverzeichnis!A1" display="Zurück zum Inhaltsverzeichnis" xr:uid="{48FC7EBF-AEC1-4E0F-A1F9-6DF7A089523A}"/>
  </hyperlinks>
  <printOptions horizontalCentered="1"/>
  <pageMargins left="0.78740157480314965" right="0.78740157480314965" top="0.98425196850393704" bottom="0.98425196850393704" header="0.51181102362204722" footer="0.51181102362204722"/>
  <pageSetup paperSize="9" scale="60" fitToWidth="0" fitToHeight="0" orientation="landscape" r:id="rId1"/>
  <headerFooter alignWithMargins="0">
    <oddHeader>&amp;L&amp;F</oddHeader>
    <oddFooter>&amp;LStadt Königs Wusterhausen&amp;CSeite &amp;P von &amp;N&amp;RKal Grund GS Zeesen</oddFooter>
  </headerFooter>
  <rowBreaks count="1" manualBreakCount="1">
    <brk id="131" max="16383" man="1"/>
  </rowBreaks>
  <colBreaks count="1" manualBreakCount="1">
    <brk id="1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108546" r:id="rId5" name="Check Box 2">
              <controlPr defaultSize="0" autoFill="0" autoLine="0" autoPict="0" altText="Hinweis 2">
                <anchor moveWithCells="1">
                  <from>
                    <xdr:col>12</xdr:col>
                    <xdr:colOff>0</xdr:colOff>
                    <xdr:row>1</xdr:row>
                    <xdr:rowOff>238125</xdr:rowOff>
                  </from>
                  <to>
                    <xdr:col>13</xdr:col>
                    <xdr:colOff>0</xdr:colOff>
                    <xdr:row>2</xdr:row>
                    <xdr:rowOff>209550</xdr:rowOff>
                  </to>
                </anchor>
              </controlPr>
            </control>
          </mc:Choice>
        </mc:AlternateContent>
        <mc:AlternateContent xmlns:mc="http://schemas.openxmlformats.org/markup-compatibility/2006">
          <mc:Choice Requires="x14">
            <control shapeId="108547" r:id="rId6" name="Check Box 3">
              <controlPr defaultSize="0" autoFill="0" autoLine="0" autoPict="0" altText="Hinweis 3">
                <anchor moveWithCells="1">
                  <from>
                    <xdr:col>12</xdr:col>
                    <xdr:colOff>0</xdr:colOff>
                    <xdr:row>2</xdr:row>
                    <xdr:rowOff>219075</xdr:rowOff>
                  </from>
                  <to>
                    <xdr:col>13</xdr:col>
                    <xdr:colOff>0</xdr:colOff>
                    <xdr:row>3</xdr:row>
                    <xdr:rowOff>142875</xdr:rowOff>
                  </to>
                </anchor>
              </controlPr>
            </control>
          </mc:Choice>
        </mc:AlternateContent>
        <mc:AlternateContent xmlns:mc="http://schemas.openxmlformats.org/markup-compatibility/2006">
          <mc:Choice Requires="x14">
            <control shapeId="108548"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V i s u a l i z a t i o n   x m l n s : x s i = " h t t p : / / w w w . w 3 . o r g / 2 0 0 1 / X M L S c h e m a - i n s t a n c e "   x m l n s : x s d = " h t t p : / / w w w . w 3 . o r g / 2 0 0 1 / X M L S c h e m a "   x m l n s = " h t t p : / / m i c r o s o f t . d a t a . v i s u a l i z a t i o n . C l i e n t . E x c e l / 1 . 0 " > < T o u r s > < T o u r   N a m e = " T o u r   1 "   I d = " { D 6 7 B 3 E 5 6 - A 9 A A - 4 4 3 A - B F 6 5 - 1 7 3 A B 6 B E 0 C 4 D } "   T o u r I d = " 3 8 0 7 f 0 2 a - c f b e - 4 4 5 c - 9 8 e 5 - c 6 d 0 1 5 4 b 0 6 0 6 "   X m l V e r = " 6 "   M i n X m l V e r = " 3 " > < D e s c r i p t i o n > H i e r   s t e h t   e i n e   B e s c h r e i b u n g   f � r   d i e   T o u r . < / D e s c r i p t i o n > < 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T o u r > < / T o u r s > < / V i s u a l i z a t i o n > 
</file>

<file path=customXml/item2.xml>��< ? x m l   v e r s i o n = " 1 . 0 "   e n c o d i n g = " u t f - 1 6 " ? > < T o u r   x m l n s : x s i = " h t t p : / / w w w . w 3 . o r g / 2 0 0 1 / X M L S c h e m a - i n s t a n c e "   x m l n s : x s d = " h t t p : / / w w w . w 3 . o r g / 2 0 0 1 / X M L S c h e m a "   N a m e = " T o u r   1 "   D e s c r i p t i o n = " H i e r   s t e h t   e i n e   B e s c h r e i b u n g   f � r   d i e   T o u r . "   x m l n s = " h t t p : / / m i c r o s o f t . d a t a . v i s u a l i z a t i o n . e n g i n e . t o u r s / 1 . 0 " > < S c e n e s > < S c e n e   C u s t o m M a p G u i d = " 0 0 0 0 0 0 0 0 - 0 0 0 0 - 0 0 0 0 - 0 0 0 0 - 0 0 0 0 0 0 0 0 0 0 0 0 "   C u s t o m M a p I d = " 0 0 0 0 0 0 0 0 - 0 0 0 0 - 0 0 0 0 - 0 0 0 0 - 0 0 0 0 0 0 0 0 0 0 0 0 "   S c e n e I d = " 5 6 1 7 9 6 2 d - 9 5 7 7 - 4 7 e 2 - 8 7 2 e - f f 1 2 2 5 8 2 9 4 e f " > < T r a n s i t i o n > M o v e T o < / T r a n s i t i o n > < E f f e c t > S t a t i o n < / E f f e c t > < T h e m e > B i n g R o a d < / T h e m e > < T h e m e W i t h L a b e l > t r u e < / T h e m e W i t h L a b e l > < F l a t M o d e E n a b l e d > t r u e < / F l a t M o d e E n a b l e d > < D u r a t i o n > 1 0 0 0 0 0 0 0 0 < / D u r a t i o n > < T r a n s i t i o n D u r a t i o n > 3 0 0 0 0 0 0 0 < / T r a n s i t i o n D u r a t i o n > < S p e e d > 0 . 5 < / S p e e d > < F r a m e > < C a m e r a > < L a t i t u d e > 5 0 . 5 4 2 6 8 1 3 9 4 7 6 3 0 4 4 < / L a t i t u d e > < L o n g i t u d e > 1 1 . 8 1 2 8 7 3 8 1 9 8 9 2 1 < / L o n g i t u d e > < R o t a t i o n > 0 < / R o t a t i o n > < P i v o t A n g l e > - 0 . 0 3 3 4 8 7 4 8 6 5 1 0 7 8 8 2 2 1 < / P i v o t A n g l e > < D i s t a n c e > 0 . 1 9 3 2 7 3 5 2 8 3 1 9 9 9 9 9 4 < / D i s t a n c e > < / C a m e r a > < 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 N a m e = " S c h i c h t   1 "   G u i d = " a a c a f 2 d 8 - 6 2 d 7 - 4 7 1 a - 9 b 9 6 - f 8 7 7 3 9 3 7 f 0 7 7 "   R e v = " 1 "   R e v G u i d = " e 6 8 8 e 3 0 3 - 4 5 d 1 - 4 3 9 8 - 9 7 b b - c c 2 c 7 1 7 1 3 7 0 7 " 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76F40F56-8083-4478-9D8F-A04379D50268}">
  <ds:schemaRefs>
    <ds:schemaRef ds:uri="http://www.w3.org/2001/XMLSchema"/>
    <ds:schemaRef ds:uri="http://microsoft.data.visualization.Client.Excel/1.0"/>
  </ds:schemaRefs>
</ds:datastoreItem>
</file>

<file path=customXml/itemProps2.xml><?xml version="1.0" encoding="utf-8"?>
<ds:datastoreItem xmlns:ds="http://schemas.openxmlformats.org/officeDocument/2006/customXml" ds:itemID="{D67B3E56-A9AA-443A-BF65-173AB6BE0C4D}">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28</vt:i4>
      </vt:variant>
    </vt:vector>
  </HeadingPairs>
  <TitlesOfParts>
    <vt:vector size="46" baseType="lpstr">
      <vt:lpstr>Inhaltsverzeichnis</vt:lpstr>
      <vt:lpstr>Preisübersicht</vt:lpstr>
      <vt:lpstr>Preisübersicht (nach Bedarf)</vt:lpstr>
      <vt:lpstr>SVS UnterhaltsRG</vt:lpstr>
      <vt:lpstr>SVS GrundRG</vt:lpstr>
      <vt:lpstr>SVS GlasRG</vt:lpstr>
      <vt:lpstr>SVS Sonderreinigung</vt:lpstr>
      <vt:lpstr>Kal Unter GS Zeesen</vt:lpstr>
      <vt:lpstr>Kal Grund GS Zeesen</vt:lpstr>
      <vt:lpstr>Kal Unter Fer GS Zeesen</vt:lpstr>
      <vt:lpstr>Kal Unter Bed GS Zeesen</vt:lpstr>
      <vt:lpstr>Kal Unter Hort mit TH</vt:lpstr>
      <vt:lpstr>Kal Grund Hort mit TH</vt:lpstr>
      <vt:lpstr>Kal Unter Fer Hort mit TH</vt:lpstr>
      <vt:lpstr>Kal Sonder Bed GS Zeesen</vt:lpstr>
      <vt:lpstr>Kal TeilRG Gesamt</vt:lpstr>
      <vt:lpstr>Kal Glas Gesamt</vt:lpstr>
      <vt:lpstr>Reinigungstage</vt:lpstr>
      <vt:lpstr>Inhaltsverzeichnis!Druckbereich</vt:lpstr>
      <vt:lpstr>'Kal Glas Gesamt'!Druckbereich</vt:lpstr>
      <vt:lpstr>'Kal Grund GS Zeesen'!Druckbereich</vt:lpstr>
      <vt:lpstr>'Kal Grund Hort mit TH'!Druckbereich</vt:lpstr>
      <vt:lpstr>'Kal Sonder Bed GS Zeesen'!Druckbereich</vt:lpstr>
      <vt:lpstr>'Kal TeilRG Gesamt'!Druckbereich</vt:lpstr>
      <vt:lpstr>'Kal Unter Bed GS Zeesen'!Druckbereich</vt:lpstr>
      <vt:lpstr>'Kal Unter Fer GS Zeesen'!Druckbereich</vt:lpstr>
      <vt:lpstr>'Kal Unter Fer Hort mit TH'!Druckbereich</vt:lpstr>
      <vt:lpstr>'Kal Unter GS Zeesen'!Druckbereich</vt:lpstr>
      <vt:lpstr>'Kal Unter Hort mit TH'!Druckbereich</vt:lpstr>
      <vt:lpstr>Preisübersicht!Druckbereich</vt:lpstr>
      <vt:lpstr>'Preisübersicht (nach Bedarf)'!Druckbereich</vt:lpstr>
      <vt:lpstr>Reinigungstage!Druckbereich</vt:lpstr>
      <vt:lpstr>'SVS GlasRG'!Druckbereich</vt:lpstr>
      <vt:lpstr>'SVS GrundRG'!Druckbereich</vt:lpstr>
      <vt:lpstr>'SVS Sonderreinigung'!Druckbereich</vt:lpstr>
      <vt:lpstr>'SVS UnterhaltsRG'!Druckbereich</vt:lpstr>
      <vt:lpstr>'Kal Grund GS Zeesen'!Drucktitel</vt:lpstr>
      <vt:lpstr>'Kal Grund Hort mit TH'!Drucktitel</vt:lpstr>
      <vt:lpstr>'Kal TeilRG Gesamt'!Drucktitel</vt:lpstr>
      <vt:lpstr>'Kal Unter Bed GS Zeesen'!Drucktitel</vt:lpstr>
      <vt:lpstr>'Kal Unter Fer GS Zeesen'!Drucktitel</vt:lpstr>
      <vt:lpstr>'Kal Unter Fer Hort mit TH'!Drucktitel</vt:lpstr>
      <vt:lpstr>'Kal Unter GS Zeesen'!Drucktitel</vt:lpstr>
      <vt:lpstr>'Kal Unter Hort mit TH'!Drucktitel</vt:lpstr>
      <vt:lpstr>Preisübersicht!Drucktitel</vt:lpstr>
      <vt:lpstr>'Preisübersicht (nach Bedarf)'!Drucktitel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Torsten Günther</dc:creator>
  <cp:lastModifiedBy>Torsten Günther</cp:lastModifiedBy>
  <cp:lastPrinted>2026-07-16T11:46:18Z</cp:lastPrinted>
  <dcterms:created xsi:type="dcterms:W3CDTF">2012-06-08T19:50:39Z</dcterms:created>
  <dcterms:modified xsi:type="dcterms:W3CDTF">2026-07-29T04:17:19Z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ad21cca4-380d-4149-a11d-405a40d038e6</vt:lpwstr>
  </property>
</Properties>
</file>